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OneDrive\Independent Projects\Steward\Financials\Operating Model\"/>
    </mc:Choice>
  </mc:AlternateContent>
  <xr:revisionPtr revIDLastSave="0" documentId="13_ncr:1_{69BCB173-6FA1-4D26-95CF-0F4B8F698EBC}" xr6:coauthVersionLast="45" xr6:coauthVersionMax="45" xr10:uidLastSave="{00000000-0000-0000-0000-000000000000}"/>
  <bookViews>
    <workbookView xWindow="-120" yWindow="-120" windowWidth="24240" windowHeight="13140" xr2:uid="{2A5674BC-06A5-4648-86AE-1D3B0C2F663A}"/>
  </bookViews>
  <sheets>
    <sheet name="Cover Page" sheetId="9" r:id="rId1"/>
    <sheet name="Model Drivers" sheetId="15" r:id="rId2"/>
    <sheet name="Existing Loans + Loan Pipeline" sheetId="7" r:id="rId3"/>
    <sheet name="Historical CAC to LTV Analysis" sheetId="14" r:id="rId4"/>
    <sheet name="Headcount" sheetId="6" r:id="rId5"/>
    <sheet name="Revenue Build" sheetId="3" r:id="rId6"/>
    <sheet name="Monthly P&amp;L" sheetId="1" r:id="rId7"/>
    <sheet name="Quarterly P&amp;L" sheetId="4" r:id="rId8"/>
    <sheet name="Annual P&amp;L" sheetId="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h">#REF!</definedName>
    <definedName name="\i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y">#REF!</definedName>
    <definedName name="___ww2" hidden="1">{#N/A,#N/A,FALSE,"Admin";#N/A,#N/A,FALSE,"Other"}</definedName>
    <definedName name="__2__123Graph_BCHART_4" hidden="1">[1]Graph!$C$69:$C$80</definedName>
    <definedName name="__3__123Graph_LBL_ACHART_5" hidden="1">[1]Sales!$C$164:$C$173</definedName>
    <definedName name="__4__123Graph_LBL_BCHART_4" hidden="1">[1]Graph!$D$69:$D$80</definedName>
    <definedName name="__FDS_HYPERLINK_TOGGLE_STATE__" hidden="1">"ON"</definedName>
    <definedName name="__FDS_UNIQUE_RANGE_ID_GENERATOR_COUNTER">1</definedName>
    <definedName name="__IntlFixup" hidden="1">TRUE</definedName>
    <definedName name="__ww2" hidden="1">{#N/A,#N/A,FALSE,"Admin";#N/A,#N/A,FALSE,"Other"}</definedName>
    <definedName name="_2__123Graph_BCHART_4" hidden="1">[1]Graph!$C$69:$C$80</definedName>
    <definedName name="_3__123Graph_LBL_ACHART_5" hidden="1">[1]Sales!$C$164:$C$173</definedName>
    <definedName name="_4__123Graph_LBL_BCHART_4" hidden="1">[1]Graph!$D$69:$D$80</definedName>
    <definedName name="_bdm.015CA3DAE0BF4525A1FBF92DAD33873F.edm" hidden="1">#REF!</definedName>
    <definedName name="_bdm.03DD90A6BAC24D129523D3026E0636D9.edm" hidden="1">#REF!</definedName>
    <definedName name="_bdm.084A1AD5AFB74BC99D3A4365CECED254.edm" hidden="1">#REF!</definedName>
    <definedName name="_bdm.096FCD9ED8554287B57E36249BC7F2A7.edm" hidden="1">#REF!</definedName>
    <definedName name="_bdm.0AF05D27482F406D942C761F0F5A41EE.edm" hidden="1">#REF!</definedName>
    <definedName name="_bdm.0D3AC084A80143679CC2BEF351D9C459.edm" hidden="1">#REF!</definedName>
    <definedName name="_bdm.0D7A1F6469CB43B891B8137A3198B5CD.edm" hidden="1">#REF!</definedName>
    <definedName name="_bdm.0E85A6B310A949DA90AD69087099F619.edm" hidden="1">#REF!</definedName>
    <definedName name="_bdm.0F8AD72D6C0745D097A5B2606ED053AC.edm" hidden="1">#REF!</definedName>
    <definedName name="_bdm.1256CF5A492C4DCB88171CE5D795315F.edm" hidden="1">#REF!</definedName>
    <definedName name="_bdm.132C37CB4C8D4EC6BADD71AA1E1D1EB7.edm" hidden="1">#REF!</definedName>
    <definedName name="_bdm.15143B885B34423A90202145DA378011.edm" hidden="1">#REF!</definedName>
    <definedName name="_bdm.16FBCDB4B98E4E36AE37E4A6D1944E6B.edm" hidden="1">#REF!</definedName>
    <definedName name="_bdm.17C6300097834D078911DE170A29BDB5.edm" hidden="1">#REF!</definedName>
    <definedName name="_bdm.1C00172FB95C48F3B49D0A978B4CFFA2.edm" hidden="1">#REF!</definedName>
    <definedName name="_bdm.1D1C526AED3611D69518000347933D20.edm" hidden="1">#REF!</definedName>
    <definedName name="_bdm.1FB6183D8AD44865BA1468A53C1096F2.edm" hidden="1">#REF!</definedName>
    <definedName name="_bdm.2070CCC653EA4721AEDB22C0EE3AD2F5.edm" hidden="1">#REF!</definedName>
    <definedName name="_bdm.215BFAEF41B045ECBDA41B0A8E09D10A.edm" hidden="1">#REF!</definedName>
    <definedName name="_bdm.26677444D8B64D8DB08FEBD2E8C62F37.edm" hidden="1">#REF!</definedName>
    <definedName name="_bdm.26C9242361F54331BA6C1DA076413EFE.edm" hidden="1">#REF!</definedName>
    <definedName name="_bdm.2E283795CAB340198F40A13B2BE1B3A9.edm" hidden="1">#REF!</definedName>
    <definedName name="_bdm.35DDE3442C054C5C8E4B8E9CFEB8A6EA.edm" hidden="1">#REF!</definedName>
    <definedName name="_bdm.3663A35FDA364D0A8FE5839598927B34.edm" hidden="1">#REF!</definedName>
    <definedName name="_bdm.3AAAF934689043B0943C93F8A21A9A68.edm" hidden="1">#REF!</definedName>
    <definedName name="_bdm.3BA71FB1494D49DEA423BD8EF144954A.edm" hidden="1">#REF!</definedName>
    <definedName name="_bdm.3C9E148232154273947735321B54A395.edm" hidden="1">#REF!</definedName>
    <definedName name="_bdm.3DE5C03647264B76A149303599E6AC97.edm" hidden="1">#REF!</definedName>
    <definedName name="_bdm.3EDB8BE106244DDC89848CFDB9F31AE7.edm" hidden="1">#REF!</definedName>
    <definedName name="_bdm.41BEBC277DD34371A7F5020E3F3B2A78.edm" hidden="1">#REF!</definedName>
    <definedName name="_bdm.43B163F42F8841978E4656EABE3C28AD.edm" hidden="1">#REF!</definedName>
    <definedName name="_bdm.49C8B6C5B10B4025934F29CEA44E47CF.edm" hidden="1">#REF!</definedName>
    <definedName name="_bdm.4DCC5645A0264F83973074CC2E195C6E.edm" hidden="1">#REF!</definedName>
    <definedName name="_bdm.4F82B4680D134BC8A09A4460D6D51C86.edm" hidden="1">#REF!</definedName>
    <definedName name="_bdm.5601BD8E27884BD3B9167AB9D7B6BBFF.edm" hidden="1">#REF!</definedName>
    <definedName name="_bdm.564AB67C5BE549449AAFA25A92D4AAB7.edm" hidden="1">#REF!</definedName>
    <definedName name="_bdm.5679979EBAB048F4935CA60321368EB4.edm" hidden="1">#REF!</definedName>
    <definedName name="_bdm.59BDB8AEAFF34175B456193DFDB95DCF.edm" hidden="1">#REF!</definedName>
    <definedName name="_bdm.5BD042AE8D5E4FC0BDF4319088901FD6.edm" hidden="1">#REF!</definedName>
    <definedName name="_bdm.5D5E08503CCC4B86B962AA11BE95B628.edm" hidden="1">#REF!</definedName>
    <definedName name="_bdm.5DE613D9219A4A38B30E8E0E6BD030A2.edm" hidden="1">#REF!</definedName>
    <definedName name="_bdm.612F7A808AB911D6A4210008021EFA83.edm" hidden="1">#REF!</definedName>
    <definedName name="_bdm.6145E54A28F545E496F98DA93635503C.edm" hidden="1">#REF!</definedName>
    <definedName name="_bdm.67E5C12161AB4A4D80D07F4D097134B2.edm" hidden="1">#REF!</definedName>
    <definedName name="_bdm.68B0897DBE6C4C9EBBE3B437A57C753D.edm" hidden="1">#REF!</definedName>
    <definedName name="_bdm.6AAB369A569348378A023E21BAF3B5C8.edm" hidden="1">#REF!</definedName>
    <definedName name="_bdm.6B17153EC1524049BF238E1A51249B37.edm" hidden="1">#REF!</definedName>
    <definedName name="_bdm.6DE8758208EE4D8284442FB223C5E1F6.edm" hidden="1">#REF!</definedName>
    <definedName name="_bdm.71D13F9723B0432E8C0812EC0D6ED127.edm" hidden="1">#REF!</definedName>
    <definedName name="_bdm.72886AD7B8DE44849A0440E953AA3F32.edm" hidden="1">#REF!</definedName>
    <definedName name="_bdm.76C9FEA89DFA47A2953CD28C96DEC6F4.edm" hidden="1">#REF!</definedName>
    <definedName name="_bdm.851D1A2FCF554D62BA2FE60ABCE89949.edm" hidden="1">#REF!</definedName>
    <definedName name="_bdm.85F2EA7281C2447D9A2537B2DB491242.edm" hidden="1">#REF!</definedName>
    <definedName name="_bdm.863DFF8EF3424C82856AD8A151423754.edm" hidden="1">#REF!</definedName>
    <definedName name="_bdm.9081A52115B24FBCA273B9884C68EB73.edm" hidden="1">#REF!</definedName>
    <definedName name="_bdm.90EC99B956D74088903439A79C570FB5.edm" hidden="1">#REF!</definedName>
    <definedName name="_bdm.91D638734D8D4E29A8611475608A82F5.edm" hidden="1">#REF!</definedName>
    <definedName name="_bdm.94051F4B5F644645AF6351409F76C054.edm" hidden="1">#REF!</definedName>
    <definedName name="_bdm.9A5670CC14CF4BCB98830E60DAAE6D85.edm" hidden="1">#REF!</definedName>
    <definedName name="_bdm.9D576385AB334E0F91FC7FB7CEA21807.edm" hidden="1">#REF!</definedName>
    <definedName name="_bdm.A5079CC3AD6E11D6B69B0010A4860669.edm" hidden="1">#REF!</definedName>
    <definedName name="_bdm.A61C1D190FD742AF96A5879905C40A51.edm" hidden="1">#REF!</definedName>
    <definedName name="_bdm.A7316995778142638E41F6C93810DDAF.edm" hidden="1">#REF!</definedName>
    <definedName name="_bdm.A8B4826C69F248A6A1F25C9D1A845F6A.edm" hidden="1">#REF!</definedName>
    <definedName name="_bdm.ACC45775AF0E4D7E9E6111F1806A42A7.edm" hidden="1">#REF!</definedName>
    <definedName name="_bdm.AE44D4798ACB11D6A4210008021EFA83.edm" hidden="1">#REF!</definedName>
    <definedName name="_bdm.B031EC69C2F44005A6C884B8265D67AD.edm" hidden="1">#REF!</definedName>
    <definedName name="_bdm.B0EBBFDFD48A4819AD44A641E72CF703.edm" hidden="1">#REF!</definedName>
    <definedName name="_bdm.BACE380D7D9D43939216E55CB768F2BD.edm" hidden="1">#REF!</definedName>
    <definedName name="_bdm.BF39F09904CF4CB98C8595DEFDA00C1E.edm" hidden="1">#REF!</definedName>
    <definedName name="_bdm.C8E2220FA55D4DBA88CF6FDB5AF93DC8.edm" hidden="1">#REF!</definedName>
    <definedName name="_bdm.C9B45E14164E48CBBF3297FDD861B5E2.edm" hidden="1">#REF!</definedName>
    <definedName name="_bdm.CD572CBB14224E18A902E5869A1E823C.edm" hidden="1">#REF!</definedName>
    <definedName name="_bdm.D4F1CD819219445BB8BEDD621CCCFE01.edm" hidden="1">#REF!</definedName>
    <definedName name="_bdm.D5D14162197843B68BF4C38B0510120B.edm" hidden="1">#REF!</definedName>
    <definedName name="_bdm.D7C4F91492A54B94B893FD4CA4146E54.edm" hidden="1">#REF!</definedName>
    <definedName name="_bdm.D9DF84A11FE349B8BCE235FFA1B33CC7.edm" hidden="1">#REF!</definedName>
    <definedName name="_bdm.DA3B9870A15F45409A335F45E47C5565.edm" hidden="1">#REF!</definedName>
    <definedName name="_bdm.DCDEF25724E94B0FBDD4A1E303CA321C.edm" hidden="1">#REF!</definedName>
    <definedName name="_bdm.E0E693B8361040B69D00C78D2D1F4685.edm" hidden="1">#REF!</definedName>
    <definedName name="_bdm.E36F7F714067431584CFFE81235131BA.edm" hidden="1">#REF!</definedName>
    <definedName name="_bdm.E70E28C788CC450299C83340D7327FE6.edm" hidden="1">#REF!</definedName>
    <definedName name="_bdm.E761E101274848AD852B280B58CBB368.edm" hidden="1">#REF!</definedName>
    <definedName name="_bdm.E8F07EFDFCEF4F7D8A6A03D7DF78921C.edm" hidden="1">#REF!</definedName>
    <definedName name="_bdm.EB5C0535C77E11D6A6FF0002A5CED235.edm" hidden="1">#REF!</definedName>
    <definedName name="_bdm.F6F55E78B7E24A7D82FDCF57F4CE47B6.edm" hidden="1">#REF!</definedName>
    <definedName name="_bdm.F9F7D871A43F42AD999AF7B67D6F5D95.edm" hidden="1">#REF!</definedName>
    <definedName name="_bdm.FA5D4B4134144CBE95BB7013C3661E16.edm" hidden="1">#REF!</definedName>
    <definedName name="_bdm.FastTrackBookmark.7_13_2006_4_51_35_PM.edm" hidden="1">#REF!</definedName>
    <definedName name="_bdm.FastTrackBookmark.7_13_2006_4_51_40_PM.edm" hidden="1">#REF!</definedName>
    <definedName name="_bdm.FC5CFBB0802544CE9D161CCDDF650BC2.edm" hidden="1">#REF!</definedName>
    <definedName name="_bdn.BB9C35044D7511D6B62C000347916C51.edm" hidden="1">#REF!</definedName>
    <definedName name="_bdn.BB9C35914D7511D6B62C000347916C51.edm" hidden="1">#REF!</definedName>
    <definedName name="_Bud01">#REF!</definedName>
    <definedName name="_Bud02">#REF!</definedName>
    <definedName name="_Bud03">#REF!</definedName>
    <definedName name="_Bud04">#REF!</definedName>
    <definedName name="_Bud05">#REF!</definedName>
    <definedName name="_Bud06">#REF!</definedName>
    <definedName name="_Bud07">#REF!</definedName>
    <definedName name="_Bud08">#REF!</definedName>
    <definedName name="_Bud09">#REF!</definedName>
    <definedName name="_Bud10">#REF!</definedName>
    <definedName name="_Bud11">#REF!</definedName>
    <definedName name="_Bud12">#REF!</definedName>
    <definedName name="_est10">#REF!</definedName>
    <definedName name="_est40">#REF!</definedName>
    <definedName name="_Fill" hidden="1">#REF!</definedName>
    <definedName name="_fy97" hidden="1">{#N/A,#N/A,FALSE,"FY97";#N/A,#N/A,FALSE,"FY98";#N/A,#N/A,FALSE,"FY99";#N/A,#N/A,FALSE,"FY00";#N/A,#N/A,FALSE,"FY01"}</definedName>
    <definedName name="_I2" hidden="1">{"PVGraph2",#N/A,FALSE,"PV Data"}</definedName>
    <definedName name="_Ist01">#REF!</definedName>
    <definedName name="_Ist02">#REF!</definedName>
    <definedName name="_Ist03">#REF!</definedName>
    <definedName name="_Ist04">#REF!</definedName>
    <definedName name="_Ist05">#REF!</definedName>
    <definedName name="_Ist06">#REF!</definedName>
    <definedName name="_Ist07">#REF!</definedName>
    <definedName name="_Ist08">#REF!</definedName>
    <definedName name="_Ist09">#REF!</definedName>
    <definedName name="_Ist10">#REF!</definedName>
    <definedName name="_Ist11">#REF!</definedName>
    <definedName name="_Ist12">#REF!</definedName>
    <definedName name="_Key1" hidden="1">#REF!</definedName>
    <definedName name="_Key2" hidden="1">[1]Sales!$B$5</definedName>
    <definedName name="_MENUBRANCH_MEN">#REF!</definedName>
    <definedName name="_ok2" hidden="1">{#N/A,#N/A,FALSE,"Cover";#N/A,#N/A,FALSE,"LUMI";#N/A,#N/A,FALSE,"COMD";#N/A,#N/A,FALSE,"Valuation";#N/A,#N/A,FALSE,"Assumptions";#N/A,#N/A,FALSE,"Pooling";#N/A,#N/A,FALSE,"BalanceSheet"}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[2]DIL4!#REF!</definedName>
    <definedName name="_Table1_Out" hidden="1">[2]DIL4!$E$59:$I$68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ry2" hidden="1">{#N/A,#N/A,FALSE,"Cover";#N/A,#N/A,FALSE,"LUMI";#N/A,#N/A,FALSE,"COMD";#N/A,#N/A,FALSE,"Valuation";#N/A,#N/A,FALSE,"Assumptions";#N/A,#N/A,FALSE,"Pooling";#N/A,#N/A,FALSE,"BalanceSheet"}</definedName>
    <definedName name="_try3" hidden="1">{#N/A,#N/A,FALSE,"Cover";#N/A,#N/A,FALSE,"Assumptions";#N/A,#N/A,FALSE,"Acquirer";#N/A,#N/A,FALSE,"Target";#N/A,#N/A,FALSE,"Income Statement";#N/A,#N/A,FALSE,"Summary Tables"}</definedName>
    <definedName name="_try4" hidden="1">{#N/A,#N/A,FALSE,"Cover";#N/A,#N/A,FALSE,"LUMI";#N/A,#N/A,FALSE,"COMD";#N/A,#N/A,FALSE,"Valuation";#N/A,#N/A,FALSE,"Assumptions";#N/A,#N/A,FALSE,"Pooling";#N/A,#N/A,FALSE,"BalanceSheet"}</definedName>
    <definedName name="_w1" hidden="1">{"PVGraph2",#N/A,FALSE,"PV Data"}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2" hidden="1">{#N/A,#N/A,FALSE,"Admin";#N/A,#N/A,FALSE,"Other"}</definedName>
    <definedName name="_Zcomps2" hidden="1">{0,0,0,0,1,-4105,28.3464566929134,28.3464566929134,28.346456664,28.3464566929134,2,TRUE,TRUE,FALSE,FALSE,FALSE,#N/A,1,85,1,2,"","","","&amp;""Kennerly,Roman Bold""&amp;14L&amp;12EHMAN &amp;14 B&amp;12ROTHERS","","",FALSE}</definedName>
    <definedName name="a" hidden="1">{#N/A,#N/A,FALSE,"earnings"}</definedName>
    <definedName name="aa" hidden="1">{#N/A,#N/A,FALSE,"Renewals In Process";#N/A,#N/A,FALSE,"New Clients In Process";#N/A,#N/A,FALSE,"Completed New Clients";#N/A,#N/A,FALSE,"Completed Renewals"}</definedName>
    <definedName name="aaa" hidden="1">{#N/A,#N/A,FALSE,"Renewals In Process";#N/A,#N/A,FALSE,"New Clients In Process";#N/A,#N/A,FALSE,"Completed New Clients";#N/A,#N/A,FALSE,"Completed Renewals"}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ssd" hidden="1">{"Acq_matrix",#N/A,FALSE,"Acquisition Matrix"}</definedName>
    <definedName name="ACC">#REF!</definedName>
    <definedName name="ACCR">#REF!</definedName>
    <definedName name="AcquireIssuerSwitch">'Monthly P&amp;L'!#REF!</definedName>
    <definedName name="Actuals97">[3]Actuals97!$A$5:$AK$94</definedName>
    <definedName name="Actuals98">[3]Actuals98!$A$5:$AK$93</definedName>
    <definedName name="Actuals99">[4]Actuals99!$A$5:$AK$109</definedName>
    <definedName name="ACwvu.Gmbh." hidden="1">#REF!</definedName>
    <definedName name="adf" hidden="1">{"comptes",#N/A,FALSE,"ACCOUNTS"}</definedName>
    <definedName name="adsf" hidden="1">{"sales",#N/A,FALSE,"Sales";"sales existing",#N/A,FALSE,"Sales";"sales rd1",#N/A,FALSE,"Sales";"sales rd2",#N/A,FALSE,"Sales"}</definedName>
    <definedName name="AFASDF" hidden="1">{0,0,0,0,1,-4105,28.3464566929134,28.3464566929134,28.346456664,28.3464566929134,2,TRUE,TRUE,FALSE,FALSE,FALSE,#N/A,1,85,1,2,"","","","&amp;""Kennerly,Roman Bold""&amp;14L&amp;12EHMAN &amp;14 B&amp;12ROTHERS","","",FALSE}</definedName>
    <definedName name="annual1" hidden="1">{#N/A,#N/A,FALSE,"earnings"}</definedName>
    <definedName name="anscount" hidden="1">1</definedName>
    <definedName name="AP">#REF!</definedName>
    <definedName name="AR">#REF!</definedName>
    <definedName name="AS2DocOpenMode" hidden="1">"AS2DocumentEdit"</definedName>
    <definedName name="AS2HasNoAutoHeaderFooter" hidden="1">" "</definedName>
    <definedName name="asdf">'[5]Operating Model'!#REF!</definedName>
    <definedName name="asdfasdfdddd" hidden="1">{"DCF","UPSIDE CASE",FALSE,"Sheet1";"DCF","BASE CASE",FALSE,"Sheet1";"DCF","DOWNSIDE CASE",FALSE,"Sheet1"}</definedName>
    <definedName name="asdfsdfsdfsdf" hidden="1">{"targetdcf",#N/A,FALSE,"Merger consequences";"TARGETASSU",#N/A,FALSE,"Merger consequences";"TERMINAL VALUE",#N/A,FALSE,"Merger consequences"}</definedName>
    <definedName name="asdsdaf" hidden="1">{"WHOLE",#N/A,FALSE,"Roll-Up";"DCF",#N/A,FALSE,"SLC ";"DCF",#N/A,FALSE,"El Paso";"DCF",#N/A,FALSE,"Phoenix";"DCF",#N/A,FALSE,"Boise";"DCF",#N/A,FALSE,"Albuquerque";"DCF",#N/A,FALSE,"SLC -- Peter and Idaho Falls";"DCF",#N/A,FALSE,"Great Way";"DCF",#N/A,FALSE,"Great Way-Leavitt Ins.";"DCF",#N/A,FALSE,"Sapp Brothers"}</definedName>
    <definedName name="ASP_DRAM">[6]Vendor_Revenues!$A$4:$IV$4</definedName>
    <definedName name="ASP_NAND">[6]Vendor_Revenues!$A$10:$IV$10</definedName>
    <definedName name="ASP_NOR">[6]Vendor_Revenues!$A$11:$IV$11</definedName>
    <definedName name="ASP_xSRAM">[6]Vendor_Revenues!$A$9:$IV$9</definedName>
    <definedName name="assumed_tax_rate">[7]A!$F$13</definedName>
    <definedName name="BalanceSheetDates">#REF!</definedName>
    <definedName name="BALSHEET">#REF!</definedName>
    <definedName name="basic">#REF!</definedName>
    <definedName name="BasJahr">#REF!</definedName>
    <definedName name="BasMonat">#REF!</definedName>
    <definedName name="bb" hidden="1">{#N/A,#N/A,FALSE,"Renewals In Process";#N/A,#N/A,FALSE,"New Clients In Process";#N/A,#N/A,FALSE,"Completed New Clients";#N/A,#N/A,FALSE,"Completed Renewals"}</definedName>
    <definedName name="benefits">'[8]Benefit rates'!$A$4:$B$38</definedName>
    <definedName name="Bezeichnung">#REF!</definedName>
    <definedName name="bill_rates">#REF!</definedName>
    <definedName name="BisDatum">[9]Werte!$AL$3</definedName>
    <definedName name="BisMonat">#REF!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PH1" hidden="1">[10]Sheet1!$A$3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211" hidden="1">#REF!</definedName>
    <definedName name="BLPH2212" hidden="1">#REF!</definedName>
    <definedName name="BLPH2213" hidden="1">#REF!</definedName>
    <definedName name="BLPH2214" hidden="1">#REF!</definedName>
    <definedName name="BLPH2215" hidden="1">#REF!</definedName>
    <definedName name="BLPH2216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urb" hidden="1">{#N/A,#N/A,FALSE,"Cover";#N/A,#N/A,FALSE,"LUMI";#N/A,#N/A,FALSE,"COMD";#N/A,#N/A,FALSE,"Valuation";#N/A,#N/A,FALSE,"Assumptions";#N/A,#N/A,FALSE,"Pooling";#N/A,#N/A,FALSE,"BalanceSheet"}</definedName>
    <definedName name="blurb2" hidden="1">{#N/A,#N/A,FALSE,"Cover";#N/A,#N/A,FALSE,"LUMI";#N/A,#N/A,FALSE,"COMD";#N/A,#N/A,FALSE,"Valuation";#N/A,#N/A,FALSE,"Assumptions";#N/A,#N/A,FALSE,"Pooling";#N/A,#N/A,FALSE,"BalanceSheet"}</definedName>
    <definedName name="blurb3" hidden="1">{#N/A,#N/A,FALSE,"Cover";#N/A,#N/A,FALSE,"LUMI";#N/A,#N/A,FALSE,"COMD";#N/A,#N/A,FALSE,"Valuation";#N/A,#N/A,FALSE,"Assumptions";#N/A,#N/A,FALSE,"Pooling";#N/A,#N/A,FALSE,"BalanceSheet"}</definedName>
    <definedName name="bnnn" hidden="1">{"consolidated",#N/A,FALSE,"Sheet1";"cms",#N/A,FALSE,"Sheet1";"fse",#N/A,FALSE,"Sheet1"}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udget98">[3]Budget98!$A$5:$AN$97</definedName>
    <definedName name="BudJahr">#REF!</definedName>
    <definedName name="BudMonat">#REF!</definedName>
    <definedName name="BuildExchangeSoftware">'Monthly P&amp;L'!#REF!</definedName>
    <definedName name="BuildIssuanceSoftware">'Monthly P&amp;L'!#REF!</definedName>
    <definedName name="BYD_MGG_ASCA_facility" hidden="1">{"Print Summary",#N/A,FALSE,"Summary Analysis";"Print FCF",#N/A,FALSE,"FCF Analysis";"Print Sensitivity",#N/A,FALSE,"Sensitivity Analysis";"Print NAV",#N/A,FALSE,"NAV Analysis";"Print Credit",#N/A,FALSE,"Credit Analysis"}</definedName>
    <definedName name="c.LTMYear" hidden="1">#REF!</definedName>
    <definedName name="cacum02">#REF!</definedName>
    <definedName name="CAOB01">#REF!</definedName>
    <definedName name="caobcum02">#REF!</definedName>
    <definedName name="CARE01">#REF!</definedName>
    <definedName name="case">#REF!</definedName>
    <definedName name="case1">'[5]Operating Model'!#REF!</definedName>
    <definedName name="CaseName">[11]Control!$P$1</definedName>
    <definedName name="CC">[12]Control!$A$5</definedName>
    <definedName name="ccc" hidden="1">{#N/A,#N/A,FALSE,"Calc";#N/A,#N/A,FALSE,"Sensitivity";#N/A,#N/A,FALSE,"LT Earn.Dil.";#N/A,#N/A,FALSE,"Dil. AVP"}</definedName>
    <definedName name="CIQWBGuid">"c1b3bfe4-f61b-492a-8ea2-2980ae5c4b87"</definedName>
    <definedName name="Circ">'[13]Controls &amp; Assumptions'!$G$16</definedName>
    <definedName name="class_A_shares">[7]A!$G$21</definedName>
    <definedName name="class_b_shares">[7]A!$G$22</definedName>
    <definedName name="closedate">#REF!</definedName>
    <definedName name="co.ctr">[14]PRPCD!#REF!</definedName>
    <definedName name="code.ctr">[15]PRPCD!$D$4:$D$37</definedName>
    <definedName name="code.cur">[15]PRPCD!$I$4:$I$26</definedName>
    <definedName name="code.eth">[15]PRPCD!$P$4:$P$8</definedName>
    <definedName name="code.rel">[14]PRPCD!#REF!</definedName>
    <definedName name="CoE_Buy_rate">'[8]Total Americas'!$E$95</definedName>
    <definedName name="CoE_Sell_rate">'[8]Total Americas'!$E$94</definedName>
    <definedName name="ColorNames">#REF!</definedName>
    <definedName name="combo">#REF!</definedName>
    <definedName name="comments">#REF!</definedName>
    <definedName name="comp.car">[15]Defaults!$H$2:$H$5</definedName>
    <definedName name="CONSO">#REF!</definedName>
    <definedName name="Contacts">[16]Contacts20080305!$C$2:$E$927</definedName>
    <definedName name="Conventions">#REF!</definedName>
    <definedName name="CTCON_CURMTH">'[17]CONS P&amp;L'!#REF!</definedName>
    <definedName name="CTCON_QTDMTH">'[17]CONS P&amp;L'!#REF!</definedName>
    <definedName name="CTCON_YTDMTH">'[17]CONS P&amp;L'!#REF!</definedName>
    <definedName name="cu102.ShareScalingFactor" hidden="1">1000000</definedName>
    <definedName name="cu103.EmployeeScalingFactor" hidden="1">1000</definedName>
    <definedName name="cu107.DPSSymbol" hidden="1">"US$"</definedName>
    <definedName name="cu107.EPSSymbol" hidden="1">"US$"</definedName>
    <definedName name="cu71.ScalingFactor" hidden="1">1000000</definedName>
    <definedName name="currency">'[8]Total Americas'!$F$4</definedName>
    <definedName name="Cwvu.GREY_ALL." hidden="1">#REF!</definedName>
    <definedName name="CZK">'[18]Entity Totals'!#REF!</definedName>
    <definedName name="d" hidden="1">{TRUE,TRUE,-1.25,-15.5,604.5,342,FALSE,TRUE,TRUE,FALSE,0,10,#N/A,1,#N/A,9.109375,16.1481481481481,1,FALSE,FALSE,3,TRUE,1,FALSE,100,"Swvu.All.","ACwvu.All.",#N/A,FALSE,FALSE,0.748031496062992,0.748031496062992,0.62992125984252,0.47244094488189,2,"","",FALSE,FALSE,FALSE,FALSE,1,#N/A,1,1,"=R6C2:R55C13",FALSE,#N/A,#N/A,FALSE,FALSE,FALSE,9,65532,65532,FALSE,FALSE,TRUE,TRUE,TRUE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TA_01" hidden="1">#REF!</definedName>
    <definedName name="_xlnm.Database">#REF!</definedName>
    <definedName name="DavaCP">[11]Control!$E$26</definedName>
    <definedName name="daws" hidden="1">{#N/A,#N/A,FALSE,"Renewals In Process";#N/A,#N/A,FALSE,"New Clients In Process";#N/A,#N/A,FALSE,"Completed New Clients";#N/A,#N/A,FALSE,"Completed Renewals"}</definedName>
    <definedName name="dayrate">17.5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" hidden="1">{"COREKINETICS",#N/A,FALSE,"CORE KINETICS"}</definedName>
    <definedName name="df" hidden="1">{TRUE,TRUE,-1.25,-15.5,604.5,342,FALSE,TRUE,TRUE,TRUE,0,1,#N/A,1,#N/A,5.25242718446602,16.0740740740741,1,FALSE,FALSE,3,TRUE,1,FALSE,100,"Swvu.Holding.","ACwvu.Holding.",#N/A,FALSE,FALSE,0.748031496062992,0.748031496062992,0.62992125984252,0.47244094488189,2,"","",FALSE,FALSE,FALSE,FALSE,1,#N/A,1,1,"=R6C2:R55C16",FALSE,#N/A,#N/A,FALSE,FALSE,FALSE,9,65532,65532,FALSE,FALSE,TRUE,TRUE,TRUE}</definedName>
    <definedName name="dfs" hidden="1">{#N/A,#N/A,FALSE,"inc state";#N/A,#N/A,FALSE,"Products";#N/A,#N/A,FALSE,"bal sht"}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iscShares">[11]Control!#REF!</definedName>
    <definedName name="DISTRIBUTE">#REF!</definedName>
    <definedName name="DIVISION">#REF!</definedName>
    <definedName name="DKK">'[19]AR EMEA'!#REF!</definedName>
    <definedName name="DLX1.USE">#REF!</definedName>
    <definedName name="DLX3.USE">#REF!</definedName>
    <definedName name="DLX7.USE">'[20]NR Const'!$A$7:$M$8</definedName>
    <definedName name="DSF" hidden="1">{#N/A,#N/A,FALSE,"Renewals In Process";#N/A,#N/A,FALSE,"New Clients In Process";#N/A,#N/A,FALSE,"Completed New Clients";#N/A,#N/A,FALSE,"Completed Renewals"}</definedName>
    <definedName name="dsfdsfd" hidden="1">{#N/A,#N/A,FALSE,"Cover";#N/A,#N/A,FALSE,"LUMI";#N/A,#N/A,FALSE,"COMD";#N/A,#N/A,FALSE,"Valuation";#N/A,#N/A,FALSE,"Assumptions";#N/A,#N/A,FALSE,"Pooling";#N/A,#N/A,FALSE,"BalanceSheet"}</definedName>
    <definedName name="dsg" hidden="1">{#N/A,#N/A,FALSE,"Calc";#N/A,#N/A,FALSE,"Sensitivity";#N/A,#N/A,FALSE,"LT Earn.Dil.";#N/A,#N/A,FALSE,"Dil. AVP"}</definedName>
    <definedName name="DShares">[11]Control!#REF!</definedName>
    <definedName name="dtyjudtryr" hidden="1">{TRUE,TRUE,-1.25,-15.5,604.5,342,FALSE,TRUE,TRUE,FALSE,0,1,#N/A,1,#N/A,5.37864077669903,16.1481481481481,1,FALSE,FALSE,3,TRUE,1,FALSE,100,"Swvu.Gmbh.","ACwvu.Gmbh.",#N/A,FALSE,FALSE,0.748031496062992,0.748031496062992,0.62992125984252,0.47244094488189,2,"","",FALSE,FALSE,FALSE,FALSE,1,#N/A,1,1,"=R6C2:R55C16",FALSE,#N/A,#N/A,FALSE,FALSE,FALSE,9,65532,65532,FALSE,FALSE,TRUE,TRUE,TRUE}</definedName>
    <definedName name="e" hidden="1">{TRUE,TRUE,-1.25,-15.5,604.5,342,FALSE,TRUE,TRUE,FALSE,0,1,#N/A,1,#N/A,5.37864077669903,16.1481481481481,1,FALSE,FALSE,3,TRUE,1,FALSE,100,"Swvu.Gmbh.","ACwvu.Gmbh.",#N/A,FALSE,FALSE,0.748031496062992,0.748031496062992,0.62992125984252,0.47244094488189,2,"","",FALSE,FALSE,FALSE,FALSE,1,#N/A,1,1,"=R6C2:R55C16",FALSE,#N/A,#N/A,FALSE,FALSE,FALSE,9,65532,65532,FALSE,FALSE,TRUE,TRUE,TRUE}</definedName>
    <definedName name="ede" hidden="1">{"IS",#N/A,FALSE,"Financials2 (Expanded)";"bsa",#N/A,FALSE,"Financials2 (Expanded)";"BS",#N/A,FALSE,"Financials2 (Expanded)";"CF",#N/A,FALSE,"Financials2 (Expanded)"}</definedName>
    <definedName name="edu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emily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ur">#REF!</definedName>
    <definedName name="euro">6.55957</definedName>
    <definedName name="ev.Calculation" hidden="1">-4105</definedName>
    <definedName name="ev.Initialized" hidden="1">FALSE</definedName>
    <definedName name="EV__ALLOWSTOPEXPAND__" hidden="1">1</definedName>
    <definedName name="EV__DECIMALSYMBOL__" hidden="1">"."</definedName>
    <definedName name="EV__EXPOPTIONS__" hidden="1">0</definedName>
    <definedName name="EV__LASTREFTIME__" hidden="1">39373.6539467593</definedName>
    <definedName name="EV__LOCKEDCVW__BILLING" hidden="1">"BTR_ALLBTR,BIN_AllBusInd,BAR_ALL_BUS_AREAS,CAT_ACTUAL,ACC_BillQ,CTY_ALLCTRY,P_GBP,DSR_TOTAL_DSRC,BDC_TOTAL_DC,MKT_ALLMK,2006.TOTAL,PIN_Total_Pind,PRD_1.1.2.2,STO_CGROUP_ALLAI,VEN_ALLVENDOR,PERIODIC,"</definedName>
    <definedName name="EV__LOCKEDCVW__BILLING_SUMMARY" hidden="1">"BIN_AllBusInd,CAT_BUDGET_v3,ACC_NetRev,G_EUR,DSR_TOTAL_DSRC,BDC_02,LOB_000,MKT_ALLMK,2008.TOTAL,PIN_Total_Pind,PRD_1.1.2.2,VEN_CGROUP_OTHER,YTD,"</definedName>
    <definedName name="EV__LOCKEDCVW__FIN_CASHFLOW" hidden="1">"CFA_INC_CLCSHPOS,CFC_ACTUAL,CMP_EAP,P_GBP,FDS_ALL,CFI_ALL_INTCO,1999.TOTAL,PERIODIC,"</definedName>
    <definedName name="EV__LOCKEDCVW__FIN_OPEX" hidden="1">"G_EUR,FIN_GR01,BUN_ALL,CAT_BUDGET_v3,CMP_EAP,FDS_ALL,FDVA_066,MOV_END,MKT_ALLMK,2008.TOTAL,RVP_ALL,YTD,"</definedName>
    <definedName name="EV__LOCKEDCVW__FINANCE" hidden="1">"NO_CURR,FIN_GR01,CAT_ACTUAL,CMP_EAP,FDS_ALL,MOV_END,ORD_MKT,CFI_ALL_INTCO,MKT_ALLMK,1999.TOTAL,PERIODIC,"</definedName>
    <definedName name="EV__LOCKEDCVW__HBG_REPORTING" hidden="1">"BTO_AllBillTo,CAT_ACTUAL,ACC_NetRev,P_GBP,DSR_TOTAL_DSRC,BDC_TOTAL_DC,MKT_ALLMK,2007.SEP,PRD_TOTAL_HBG,SDT_TOTALSD,STO_AllSoldTo,VEN_ALLVENDOR,PERIODIC,"</definedName>
    <definedName name="EV__LOCKEDCVW__RATE" hidden="1">"TotalEntity2,P_GBP,2007.TOTAL,RAT_PLA_MTH,CAT_ACTUAL,PERIODIC,"</definedName>
    <definedName name="EV__LOCKEDCVW__TSL_REPORTING" hidden="1">"BTO_AllBillTo,CAT_ACTUAL,ACC_NetRev,P_GBP,DSR_TOTAL_DSRC,BDC_TOTAL_DC,MKT_ALLMK,0000.TOTAL,PRD_TOTAL_TSL,SDT_TOTALSD,STO_AllSoldTo,VEN_ALLVENDOR,PERIODIC,"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xitdate">#REF!</definedName>
    <definedName name="ext">#REF!</definedName>
    <definedName name="f">{TRUE,TRUE,-1.25,-15.5,604.5,342,FALSE,TRUE,TRUE,TRUE,0,1,#N/A,1,#N/A,5.25242718446602,16.0740740740741,1,FALSE,FALSE,3,TRUE,1,FALSE,100,"Swvu.Holding.","ACwvu.Holding.",#N/A,FALSE,FALSE,0.748031496062992,0.748031496062992,0.62992125984252,0.47244094488189,2,"","",FALSE,FALSE,FALSE,FALSE,1,#N/A,1,1,"=R6C2:R55C16",FALSE,#N/A,#N/A,FALSE,FALSE,FALSE,9,65532,65532,FALSE,FALSE,TRUE,TRUE,TRUE}</definedName>
    <definedName name="fdfddss" hidden="1">{"Acq_matrix",#N/A,FALSE,"Acquisition Matrix"}</definedName>
    <definedName name="feers" hidden="1">{#N/A,#N/A,FALSE,"Cover";#N/A,#N/A,FALSE,"LUMI";#N/A,#N/A,FALSE,"COMD";#N/A,#N/A,FALSE,"Valuation";#N/A,#N/A,FALSE,"Assumptions";#N/A,#N/A,FALSE,"Pooling";#N/A,#N/A,FALSE,"BalanceSheet"}</definedName>
    <definedName name="Fentanyl">[11]Control!#REF!</definedName>
    <definedName name="ffff" hidden="1">{TRUE,TRUE,-1.25,-15.5,604.5,342,FALSE,TRUE,TRUE,FALSE,0,1,#N/A,1,#N/A,5.37864077669903,16.1481481481481,1,FALSE,FALSE,3,TRUE,1,FALSE,100,"Swvu.Gmbh.","ACwvu.Gmbh.",#N/A,FALSE,FALSE,0.748031496062992,0.748031496062992,0.62992125984252,0.47244094488189,2,"","",FALSE,FALSE,FALSE,FALSE,1,#N/A,1,1,"=R6C2:R55C16",FALSE,#N/A,#N/A,FALSE,FALSE,FALSE,9,65532,65532,FALSE,FALSE,TRUE,TRUE,TRUE}</definedName>
    <definedName name="ffvvbba" hidden="1">{"adj95mult",#N/A,FALSE,"COMPCO";"adj95est",#N/A,FALSE,"COMPCO"}</definedName>
    <definedName name="fgb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gfdgfgfg" hidden="1">{#N/A,#N/A,FALSE,"Cover";#N/A,#N/A,FALSE,"LUMI";#N/A,#N/A,FALSE,"COMD";#N/A,#N/A,FALSE,"Valuation";#N/A,#N/A,FALSE,"Assumptions";#N/A,#N/A,FALSE,"Pooling";#N/A,#N/A,FALSE,"BalanceSheet"}</definedName>
    <definedName name="fgfdgfgfgfg" hidden="1">{#N/A,#N/A,FALSE,"Cover";#N/A,#N/A,FALSE,"Assumptions";#N/A,#N/A,FALSE,"Acquirer";#N/A,#N/A,FALSE,"Target";#N/A,#N/A,FALSE,"Income Statement";#N/A,#N/A,FALSE,"Summary Tables"}</definedName>
    <definedName name="fgsg" hidden="1">{"consolidated",#N/A,FALSE,"Sheet1";"cms",#N/A,FALSE,"Sheet1";"fse",#N/A,FALSE,"Sheet1"}</definedName>
    <definedName name="fin.comp">[14]Defaults!#REF!</definedName>
    <definedName name="fmc">#REF!</definedName>
    <definedName name="fr" hidden="1">#REF!</definedName>
    <definedName name="frc">#REF!</definedName>
    <definedName name="fsfs" hidden="1">{#N/A,#N/A,FALSE,"Calc";#N/A,#N/A,FALSE,"Sensitivity";#N/A,#N/A,FALSE,"LT Earn.Dil.";#N/A,#N/A,FALSE,"Dil. AVP"}</definedName>
    <definedName name="FX">#REF!</definedName>
    <definedName name="fx_rate">'[8]FX Rates'!$B$2:$E$55</definedName>
    <definedName name="FXSEVEN">'[5]Operating Model'!#REF!</definedName>
    <definedName name="FXSIX">'[5]Operating Model'!#REF!</definedName>
    <definedName name="FYE">'[13]Controls &amp; Assumptions'!$G$24</definedName>
    <definedName name="g" hidden="1">{TRUE,TRUE,-1.25,-15.5,604.5,342,FALSE,TRUE,TRUE,TRUE,0,1,#N/A,1,#N/A,5.37864077669903,16.1481481481481,1,FALSE,FALSE,3,TRUE,1,FALSE,100,"Swvu.Mktg.","ACwvu.Mktg.",#N/A,FALSE,FALSE,0.748031496062992,0.748031496062992,0.62992125984252,0.47244094488189,2,"","",FALSE,FALSE,FALSE,FALSE,1,#N/A,1,1,"=R6C2:R55C16",FALSE,#N/A,#N/A,FALSE,FALSE,FALSE,9,65532,65532,FALSE,FALSE,TRUE,TRUE,TRUE}</definedName>
    <definedName name="GBP">'[19]AR EMEA'!#REF!</definedName>
    <definedName name="GBPUSD">#REF!</definedName>
    <definedName name="GDB_Approvers">[21]Tables!$N$3:$N$8</definedName>
    <definedName name="gdbLOCATION_Status">#REF!</definedName>
    <definedName name="gdgd">VLOOKUP(#REF!,CRT,4,FALSE)</definedName>
    <definedName name="gg" hidden="1">{TRUE,TRUE,-1.25,-15.5,604.5,342,FALSE,TRUE,TRUE,FALSE,0,10,#N/A,1,#N/A,9.109375,16.1481481481481,1,FALSE,FALSE,3,TRUE,1,FALSE,100,"Swvu.All.","ACwvu.All.",#N/A,FALSE,FALSE,0.748031496062992,0.748031496062992,0.62992125984252,0.47244094488189,2,"","",FALSE,FALSE,FALSE,FALSE,1,#N/A,1,1,"=R6C2:R55C13",FALSE,#N/A,#N/A,FALSE,FALSE,FALSE,9,65532,65532,FALSE,FALSE,TRUE,TRUE,TRUE}</definedName>
    <definedName name="grd" hidden="1">{TRUE,TRUE,-1.25,-15.5,604.5,342,FALSE,TRUE,TRUE,FALSE,0,1,#N/A,1,#N/A,5.37864077669903,16.1481481481481,1,FALSE,FALSE,3,TRUE,1,FALSE,100,"Swvu.Gmbh.","ACwvu.Gmbh.",#N/A,FALSE,FALSE,0.748031496062992,0.748031496062992,0.62992125984252,0.47244094488189,2,"","",FALSE,FALSE,FALSE,FALSE,1,#N/A,1,1,"=R6C2:R55C16",FALSE,#N/A,#N/A,FALSE,FALSE,FALSE,9,65532,65532,FALSE,FALSE,TRUE,TRUE,TRUE}</definedName>
    <definedName name="h" hidden="1">{TRUE,TRUE,-1.25,-15.5,604.5,342,FALSE,TRUE,TRUE,TRUE,0,1,#N/A,1,#N/A,5.25242718446602,16.3703703703704,1,FALSE,FALSE,3,TRUE,1,FALSE,100,"Swvu.operations.","ACwvu.operations.",#N/A,FALSE,FALSE,0.748031496062992,0.748031496062992,0.62992125984252,0.47244094488189,2,"","",FALSE,FALSE,FALSE,FALSE,1,#N/A,1,1,"=R6C2:R55C16",FALSE,#N/A,#N/A,FALSE,FALSE,FALSE,9,65532,65532,FALSE,FALSE,TRUE,TRUE,TRUE}</definedName>
    <definedName name="ha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PrivateLTMYear" hidden="1">#REF!</definedName>
    <definedName name="HochJahr">#REF!</definedName>
    <definedName name="HochMonat">#REF!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hidden="1">{"'Segment'!$A$1:$J$45"}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"J:\carpente\Releases\Q2-00\segment2Q-00.htm"</definedName>
    <definedName name="HTML_Title" hidden="1">"Segment and Supplemental Information"</definedName>
    <definedName name="HTML1_1" hidden="1">"'[Financials V2.01 Sub Sales Excite 4.xls]Income Statement'!$B$1:$AA$38"</definedName>
    <definedName name="HTML1_10" hidden="1">""</definedName>
    <definedName name="HTML1_11" hidden="1">1</definedName>
    <definedName name="HTML1_12" hidden="1">"C:\My Documents\Financials_01.htm"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"Financials V.1.0.2"</definedName>
    <definedName name="HTML1_4" hidden="1">"Income Statement"</definedName>
    <definedName name="HTML1_5" hidden="1">""</definedName>
    <definedName name="HTML1_6" hidden="1">-4146</definedName>
    <definedName name="HTML1_7" hidden="1">-4146</definedName>
    <definedName name="HTML1_8" hidden="1">"8/22/98"</definedName>
    <definedName name="HTML1_9" hidden="1">"Bill Nguyen"</definedName>
    <definedName name="HTML2_1" hidden="1">"'[Financials V2.01 Sub Sales Excite 4.xls]Income Statement'!$B$10:$AA$38"</definedName>
    <definedName name="HTML2_10" hidden="1">""</definedName>
    <definedName name="HTML2_11" hidden="1">1</definedName>
    <definedName name="HTML2_12" hidden="1">"C:\My Documents\financials.html"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"Financials"</definedName>
    <definedName name="HTML2_4" hidden="1">"Income Statement"</definedName>
    <definedName name="HTML2_5" hidden="1">""</definedName>
    <definedName name="HTML2_6" hidden="1">-4146</definedName>
    <definedName name="HTML2_7" hidden="1">1</definedName>
    <definedName name="HTML2_8" hidden="1">"8/22/98"</definedName>
    <definedName name="HTML2_9" hidden="1">"Bill Nguyen"</definedName>
    <definedName name="HTMLCount" hidden="1">2</definedName>
    <definedName name="Hynix_ASPdram">[6]Vendor_Revenues!$A$120:$IV$120</definedName>
    <definedName name="Hynix_ASPnand">[6]Vendor_Revenues!$A$121:$IV$121</definedName>
    <definedName name="Hynix_Bitnand">[6]Vendor_Supply!$A$20:$IV$20</definedName>
    <definedName name="Hynix_Revnand">[6]Vendor_Revenues!$A$29:$IV$29</definedName>
    <definedName name="Hypothetica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i">{TRUE,TRUE,-1.25,-15.5,604.5,342,FALSE,TRUE,TRUE,TRUE,0,1,#N/A,1,#N/A,5.25242718446602,16.0740740740741,1,FALSE,FALSE,3,TRUE,1,FALSE,100,"Swvu.Sarl.","ACwvu.Sarl.",#N/A,FALSE,FALSE,0.748031496062992,0.748031496062992,0.62992125984252,0.47244094488189,2,"","",FALSE,FALSE,FALSE,FALSE,1,#N/A,1,1,"=R6C2:R55C16",FALSE,#N/A,#N/A,FALSE,FALSE,FALSE,9,65532,65532,FALSE,FALSE,TRUE,TRUE,TRUE}</definedName>
    <definedName name="ia" hidden="1">{TRUE,TRUE,-1.25,-15.5,604.5,342,FALSE,TRUE,TRUE,TRUE,0,1,#N/A,1,#N/A,5.37864077669903,16.1481481481481,1,FALSE,FALSE,3,TRUE,1,FALSE,100,"Swvu.Mktg.","ACwvu.Mktg.",#N/A,FALSE,FALSE,0.748031496062992,0.748031496062992,0.62992125984252,0.47244094488189,2,"","",FALSE,FALSE,FALSE,FALSE,1,#N/A,1,1,"=R6C2:R55C16",FALSE,#N/A,#N/A,FALSE,FALSE,FALSE,9,65532,65532,FALSE,FALSE,TRUE,TRUE,TRUE}</definedName>
    <definedName name="IBI110T">#REF!</definedName>
    <definedName name="IBI210T">#REF!</definedName>
    <definedName name="IBIKAFGT">#REF!</definedName>
    <definedName name="IBIKBIER">#REF!</definedName>
    <definedName name="IBIKBOUT">#REF!</definedName>
    <definedName name="IBIKHP">#REF!</definedName>
    <definedName name="IBIKKAFF">#REF!</definedName>
    <definedName name="IBIKKÜCH">#REF!</definedName>
    <definedName name="IBIKMINI">#REF!</definedName>
    <definedName name="IBIKMMA">#REF!</definedName>
    <definedName name="IBIKMME">#REF!</definedName>
    <definedName name="IBIKSPRI">#REF!</definedName>
    <definedName name="IBIKWB">#REF!</definedName>
    <definedName name="IBIKWEIN">#REF!</definedName>
    <definedName name="IBIKZEIT">#REF!</definedName>
    <definedName name="Ibis">#REF!</definedName>
    <definedName name="IBIUAFGT">#REF!</definedName>
    <definedName name="IBIUBIER">#REF!</definedName>
    <definedName name="IBIUBOUT">#REF!</definedName>
    <definedName name="IBIUHP">#REF!</definedName>
    <definedName name="IBIUKaff">#REF!</definedName>
    <definedName name="IBIUKÜCH">#REF!</definedName>
    <definedName name="IBIUMINI">#REF!</definedName>
    <definedName name="IBIUMMA">#REF!</definedName>
    <definedName name="IBIUMME">#REF!</definedName>
    <definedName name="IBIUSPRI">#REF!</definedName>
    <definedName name="IBIUWB">#REF!</definedName>
    <definedName name="IBIUWEIN">#REF!</definedName>
    <definedName name="IBIUZEIT">#REF!</definedName>
    <definedName name="IBS">[22]Assumptions!$X$14</definedName>
    <definedName name="IFS">[22]Assumptions!$X$13</definedName>
    <definedName name="IFX_Bitnand">[6]Vendor_Supply!$A$26:$IV$26</definedName>
    <definedName name="IFX_Revnand">[6]Vendor_Revenues!$A$35:$IV$35</definedName>
    <definedName name="iiiii" hidden="1">{#N/A,#N/A,FALSE,"Calc";#N/A,#N/A,FALSE,"Sensitivity";#N/A,#N/A,FALSE,"LT Earn.Dil.";#N/A,#N/A,FALSE,"Dil. AVP"}</definedName>
    <definedName name="IM_Bitnand">[6]Vendor_Supply!$A$39:$IV$39</definedName>
    <definedName name="IM_Revnand">[6]Vendor_Revenues!$A$48:$IV$48</definedName>
    <definedName name="IMOBILIZADO1">#REF!</definedName>
    <definedName name="IncomeStatementDates">#REF!</definedName>
    <definedName name="industry">#REF!</definedName>
    <definedName name="Infor">[22]Assumptions!$X$16</definedName>
    <definedName name="INTC_Bitnand">[6]Vendor_Supply!$A$32:$IV$32</definedName>
    <definedName name="INTC_Revnand">[6]Vendor_Revenues!$A$41:$IV$41</definedName>
    <definedName name="IntroPrintArea" hidden="1">#REF!</definedName>
    <definedName name="INVEST" hidden="1">{TRUE,TRUE,-1.25,-15.5,604.5,342,FALSE,TRUE,TRUE,TRUE,0,1,#N/A,1,#N/A,5.25242718446602,16.3703703703704,1,FALSE,FALSE,3,TRUE,1,FALSE,100,"Swvu.operations.","ACwvu.operations.",#N/A,FALSE,FALSE,0.748031496062992,0.748031496062992,0.62992125984252,0.47244094488189,2,"","",FALSE,FALSE,FALSE,FALSE,1,#N/A,1,1,"=R6C2:R55C16",FALSE,#N/A,#N/A,FALSE,FALSE,FALSE,9,65532,65532,FALSE,FALSE,TRUE,TRUE,TRUE}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_COL" hidden="1">"c11719"</definedName>
    <definedName name="IQ_BV_SHARE_ACT_OR_EST_REUT" hidden="1">"c5477"</definedName>
    <definedName name="IQ_BV_SHARE_EST" hidden="1">"c3541"</definedName>
    <definedName name="IQ_BV_SHARE_EST_DOWN_2MONTH" hidden="1">"c16573"</definedName>
    <definedName name="IQ_BV_SHARE_EST_DOWN_2MONTH_REUT" hidden="1">"c17113"</definedName>
    <definedName name="IQ_BV_SHARE_EST_DOWN_3MONTH" hidden="1">"c16577"</definedName>
    <definedName name="IQ_BV_SHARE_EST_DOWN_3MONTH_REUT" hidden="1">"c17117"</definedName>
    <definedName name="IQ_BV_SHARE_EST_DOWN_MONTH" hidden="1">"c16569"</definedName>
    <definedName name="IQ_BV_SHARE_EST_DOWN_MONTH_REUT" hidden="1">"c17109"</definedName>
    <definedName name="IQ_BV_SHARE_EST_NUM_ANALYSTS_2MONTH" hidden="1">"c16571"</definedName>
    <definedName name="IQ_BV_SHARE_EST_NUM_ANALYSTS_2MONTH_REUT" hidden="1">"c17111"</definedName>
    <definedName name="IQ_BV_SHARE_EST_NUM_ANALYSTS_3MONTH" hidden="1">"c16575"</definedName>
    <definedName name="IQ_BV_SHARE_EST_NUM_ANALYSTS_3MONTH_REUT" hidden="1">"c17115"</definedName>
    <definedName name="IQ_BV_SHARE_EST_NUM_ANALYSTS_MONTH" hidden="1">"c16567"</definedName>
    <definedName name="IQ_BV_SHARE_EST_NUM_ANALYSTS_MONTH_REUT" hidden="1">"c17107"</definedName>
    <definedName name="IQ_BV_SHARE_EST_REUT" hidden="1">"c5439"</definedName>
    <definedName name="IQ_BV_SHARE_EST_TOTAL_REVISED_2MONTH" hidden="1">"c16574"</definedName>
    <definedName name="IQ_BV_SHARE_EST_TOTAL_REVISED_2MONTH_REUT" hidden="1">"c17114"</definedName>
    <definedName name="IQ_BV_SHARE_EST_TOTAL_REVISED_3MONTH" hidden="1">"c16578"</definedName>
    <definedName name="IQ_BV_SHARE_EST_TOTAL_REVISED_3MONTH_REUT" hidden="1">"c17118"</definedName>
    <definedName name="IQ_BV_SHARE_EST_TOTAL_REVISED_MONTH" hidden="1">"c16570"</definedName>
    <definedName name="IQ_BV_SHARE_EST_TOTAL_REVISED_MONTH_REUT" hidden="1">"c17110"</definedName>
    <definedName name="IQ_BV_SHARE_EST_UP_2MONTH" hidden="1">"c16572"</definedName>
    <definedName name="IQ_BV_SHARE_EST_UP_2MONTH_REUT" hidden="1">"c17112"</definedName>
    <definedName name="IQ_BV_SHARE_EST_UP_3MONTH" hidden="1">"c16576"</definedName>
    <definedName name="IQ_BV_SHARE_EST_UP_3MONTH_REUT" hidden="1">"c17116"</definedName>
    <definedName name="IQ_BV_SHARE_EST_UP_MONTH" hidden="1">"c16568"</definedName>
    <definedName name="IQ_BV_SHARE_EST_UP_MONTH_REUT" hidden="1">"c17108"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_COL" hidden="1">"c11718"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DOWN_2MONTH" hidden="1">"c16525"</definedName>
    <definedName name="IQ_CAPEX_EST_DOWN_2MONTH_REUT" hidden="1">"c17065"</definedName>
    <definedName name="IQ_CAPEX_EST_DOWN_3MONTH" hidden="1">"c16529"</definedName>
    <definedName name="IQ_CAPEX_EST_DOWN_3MONTH_REUT" hidden="1">"c17069"</definedName>
    <definedName name="IQ_CAPEX_EST_DOWN_MONTH" hidden="1">"c16521"</definedName>
    <definedName name="IQ_CAPEX_EST_DOWN_MONTH_REUT" hidden="1">"c17061"</definedName>
    <definedName name="IQ_CAPEX_EST_NUM_ANALYSTS_2MONTH" hidden="1">"c16523"</definedName>
    <definedName name="IQ_CAPEX_EST_NUM_ANALYSTS_2MONTH_REUT" hidden="1">"c17063"</definedName>
    <definedName name="IQ_CAPEX_EST_NUM_ANALYSTS_3MONTH" hidden="1">"c16527"</definedName>
    <definedName name="IQ_CAPEX_EST_NUM_ANALYSTS_3MONTH_REUT" hidden="1">"c17067"</definedName>
    <definedName name="IQ_CAPEX_EST_NUM_ANALYSTS_MONTH" hidden="1">"c16519"</definedName>
    <definedName name="IQ_CAPEX_EST_NUM_ANALYSTS_MONTH_REUT" hidden="1">"c17059"</definedName>
    <definedName name="IQ_CAPEX_EST_REUT" hidden="1">"c3969"</definedName>
    <definedName name="IQ_CAPEX_EST_TOTAL_REVISED_2MONTH" hidden="1">"c16526"</definedName>
    <definedName name="IQ_CAPEX_EST_TOTAL_REVISED_2MONTH_REUT" hidden="1">"c17066"</definedName>
    <definedName name="IQ_CAPEX_EST_TOTAL_REVISED_3MONTH" hidden="1">"c16530"</definedName>
    <definedName name="IQ_CAPEX_EST_TOTAL_REVISED_3MONTH_REUT" hidden="1">"c17070"</definedName>
    <definedName name="IQ_CAPEX_EST_TOTAL_REVISED_MONTH" hidden="1">"c16522"</definedName>
    <definedName name="IQ_CAPEX_EST_TOTAL_REVISED_MONTH_REUT" hidden="1">"c17062"</definedName>
    <definedName name="IQ_CAPEX_EST_UP_2MONTH" hidden="1">"c16524"</definedName>
    <definedName name="IQ_CAPEX_EST_UP_2MONTH_REUT" hidden="1">"c17064"</definedName>
    <definedName name="IQ_CAPEX_EST_UP_3MONTH" hidden="1">"c16528"</definedName>
    <definedName name="IQ_CAPEX_EST_UP_3MONTH_REUT" hidden="1">"c17068"</definedName>
    <definedName name="IQ_CAPEX_EST_UP_MONTH" hidden="1">"c16520"</definedName>
    <definedName name="IQ_CAPEX_EST_UP_MONTH_REUT" hidden="1">"c17060"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REUT" hidden="1">"c3971"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PCT_REV" hidden="1">"c19144"</definedName>
    <definedName name="IQ_CAPEX_STDDEV_EST" hidden="1">"c3522"</definedName>
    <definedName name="IQ_CAPEX_STDDEV_EST_REUT" hidden="1">"c3974"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EST" hidden="1">"c5631"</definedName>
    <definedName name="IQ_CASH_EPS_EST_DOWN_2MONTH" hidden="1">"c16333"</definedName>
    <definedName name="IQ_CASH_EPS_EST_DOWN_3MONTH" hidden="1">"c16337"</definedName>
    <definedName name="IQ_CASH_EPS_EST_DOWN_MONTH" hidden="1">"c16329"</definedName>
    <definedName name="IQ_CASH_EPS_EST_NUM_ANALYSTS_2MONTH" hidden="1">"c16331"</definedName>
    <definedName name="IQ_CASH_EPS_EST_NUM_ANALYSTS_3MONTH" hidden="1">"c16335"</definedName>
    <definedName name="IQ_CASH_EPS_EST_NUM_ANALYSTS_MONTH" hidden="1">"c16327"</definedName>
    <definedName name="IQ_CASH_EPS_EST_TOTAL_REVISED_2MONTH" hidden="1">"c16334"</definedName>
    <definedName name="IQ_CASH_EPS_EST_TOTAL_REVISED_3MONTH" hidden="1">"c16338"</definedName>
    <definedName name="IQ_CASH_EPS_EST_TOTAL_REVISED_MONTH" hidden="1">"c16330"</definedName>
    <definedName name="IQ_CASH_EPS_EST_UP_2MONTH" hidden="1">"c16332"</definedName>
    <definedName name="IQ_CASH_EPS_EST_UP_3MONTH" hidden="1">"c16336"</definedName>
    <definedName name="IQ_CASH_EPS_EST_UP_MONTH" hidden="1">"c16328"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_COL" hidden="1">"c11708"</definedName>
    <definedName name="IQ_CFPS_ACT_OR_EST_REUT" hidden="1">"c5463"</definedName>
    <definedName name="IQ_CFPS_EST" hidden="1">"c1667"</definedName>
    <definedName name="IQ_CFPS_EST_DOWN_2MONTH" hidden="1">"c16321"</definedName>
    <definedName name="IQ_CFPS_EST_DOWN_2MONTH_REUT" hidden="1">"c16909"</definedName>
    <definedName name="IQ_CFPS_EST_DOWN_3MONTH" hidden="1">"c16325"</definedName>
    <definedName name="IQ_CFPS_EST_DOWN_3MONTH_REUT" hidden="1">"c16913"</definedName>
    <definedName name="IQ_CFPS_EST_DOWN_MONTH" hidden="1">"c16317"</definedName>
    <definedName name="IQ_CFPS_EST_DOWN_MONTH_REUT" hidden="1">"c16905"</definedName>
    <definedName name="IQ_CFPS_EST_NUM_ANALYSTS_2MONTH" hidden="1">"c16319"</definedName>
    <definedName name="IQ_CFPS_EST_NUM_ANALYSTS_2MONTH_REUT" hidden="1">"c16907"</definedName>
    <definedName name="IQ_CFPS_EST_NUM_ANALYSTS_3MONTH" hidden="1">"c16323"</definedName>
    <definedName name="IQ_CFPS_EST_NUM_ANALYSTS_3MONTH_REUT" hidden="1">"c16911"</definedName>
    <definedName name="IQ_CFPS_EST_NUM_ANALYSTS_MONTH" hidden="1">"c16315"</definedName>
    <definedName name="IQ_CFPS_EST_NUM_ANALYSTS_MONTH_REUT" hidden="1">"c16903"</definedName>
    <definedName name="IQ_CFPS_EST_REUT" hidden="1">"c3844"</definedName>
    <definedName name="IQ_CFPS_EST_TOTAL_REVISED_2MONTH" hidden="1">"c16322"</definedName>
    <definedName name="IQ_CFPS_EST_TOTAL_REVISED_2MONTH_REUT" hidden="1">"c16910"</definedName>
    <definedName name="IQ_CFPS_EST_TOTAL_REVISED_3MONTH" hidden="1">"c16326"</definedName>
    <definedName name="IQ_CFPS_EST_TOTAL_REVISED_3MONTH_REUT" hidden="1">"c16914"</definedName>
    <definedName name="IQ_CFPS_EST_TOTAL_REVISED_MONTH" hidden="1">"c16318"</definedName>
    <definedName name="IQ_CFPS_EST_TOTAL_REVISED_MONTH_REUT" hidden="1">"c16906"</definedName>
    <definedName name="IQ_CFPS_EST_UP_2MONTH" hidden="1">"c16320"</definedName>
    <definedName name="IQ_CFPS_EST_UP_2MONTH_REUT" hidden="1">"c16908"</definedName>
    <definedName name="IQ_CFPS_EST_UP_3MONTH" hidden="1">"c16324"</definedName>
    <definedName name="IQ_CFPS_EST_UP_3MONTH_REUT" hidden="1">"c16912"</definedName>
    <definedName name="IQ_CFPS_EST_UP_MONTH" hidden="1">"c16316"</definedName>
    <definedName name="IQ_CFPS_EST_UP_MONTH_REUT" hidden="1">"c16904"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REUT" hidden="1">"c3846"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REUT" hidden="1">"c3847"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_COL" hidden="1">"c11709"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DOWN_2MONTH" hidden="1">"c16345"</definedName>
    <definedName name="IQ_DPS_EST_DOWN_2MONTH_REUT" hidden="1">"c16921"</definedName>
    <definedName name="IQ_DPS_EST_DOWN_3MONTH" hidden="1">"c16349"</definedName>
    <definedName name="IQ_DPS_EST_DOWN_3MONTH_REUT" hidden="1">"c16925"</definedName>
    <definedName name="IQ_DPS_EST_DOWN_MONTH" hidden="1">"c16341"</definedName>
    <definedName name="IQ_DPS_EST_DOWN_MONTH_REUT" hidden="1">"c16917"</definedName>
    <definedName name="IQ_DPS_EST_NUM_ANALYSTS_2MONTH" hidden="1">"c16343"</definedName>
    <definedName name="IQ_DPS_EST_NUM_ANALYSTS_2MONTH_REUT" hidden="1">"c16919"</definedName>
    <definedName name="IQ_DPS_EST_NUM_ANALYSTS_3MONTH" hidden="1">"c16347"</definedName>
    <definedName name="IQ_DPS_EST_NUM_ANALYSTS_3MONTH_REUT" hidden="1">"c16923"</definedName>
    <definedName name="IQ_DPS_EST_NUM_ANALYSTS_MONTH" hidden="1">"c16339"</definedName>
    <definedName name="IQ_DPS_EST_NUM_ANALYSTS_MONTH_REUT" hidden="1">"c16915"</definedName>
    <definedName name="IQ_DPS_EST_REUT" hidden="1">"c3851"</definedName>
    <definedName name="IQ_DPS_EST_TOTAL_REVISED_2MONTH" hidden="1">"c16346"</definedName>
    <definedName name="IQ_DPS_EST_TOTAL_REVISED_2MONTH_REUT" hidden="1">"c16922"</definedName>
    <definedName name="IQ_DPS_EST_TOTAL_REVISED_3MONTH" hidden="1">"c16350"</definedName>
    <definedName name="IQ_DPS_EST_TOTAL_REVISED_3MONTH_REUT" hidden="1">"c16926"</definedName>
    <definedName name="IQ_DPS_EST_TOTAL_REVISED_MONTH" hidden="1">"c16342"</definedName>
    <definedName name="IQ_DPS_EST_TOTAL_REVISED_MONTH_REUT" hidden="1">"c16918"</definedName>
    <definedName name="IQ_DPS_EST_UP_2MONTH" hidden="1">"c16344"</definedName>
    <definedName name="IQ_DPS_EST_UP_2MONTH_REUT" hidden="1">"c16920"</definedName>
    <definedName name="IQ_DPS_EST_UP_3MONTH" hidden="1">"c16348"</definedName>
    <definedName name="IQ_DPS_EST_UP_3MONTH_REUT" hidden="1">"c16924"</definedName>
    <definedName name="IQ_DPS_EST_UP_MONTH" hidden="1">"c16340"</definedName>
    <definedName name="IQ_DPS_EST_UP_MONTH_REUT" hidden="1">"c16916"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REUT" hidden="1">"c3853"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REUT" hidden="1">"c3854"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_COL" hidden="1">"c11710"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DOWN_2MONTH" hidden="1">"c16357"</definedName>
    <definedName name="IQ_EBIT_EST_DOWN_2MONTH_REUT" hidden="1">"c16933"</definedName>
    <definedName name="IQ_EBIT_EST_DOWN_3MONTH" hidden="1">"c16361"</definedName>
    <definedName name="IQ_EBIT_EST_DOWN_3MONTH_REUT" hidden="1">"c16937"</definedName>
    <definedName name="IQ_EBIT_EST_DOWN_MONTH" hidden="1">"c16353"</definedName>
    <definedName name="IQ_EBIT_EST_DOWN_MONTH_REUT" hidden="1">"c16929"</definedName>
    <definedName name="IQ_EBIT_EST_NUM_ANALYSTS_2MONTH" hidden="1">"c16355"</definedName>
    <definedName name="IQ_EBIT_EST_NUM_ANALYSTS_2MONTH_REUT" hidden="1">"c16931"</definedName>
    <definedName name="IQ_EBIT_EST_NUM_ANALYSTS_3MONTH" hidden="1">"c16359"</definedName>
    <definedName name="IQ_EBIT_EST_NUM_ANALYSTS_3MONTH_REUT" hidden="1">"c16935"</definedName>
    <definedName name="IQ_EBIT_EST_NUM_ANALYSTS_MONTH" hidden="1">"c16351"</definedName>
    <definedName name="IQ_EBIT_EST_NUM_ANALYSTS_MONTH_REUT" hidden="1">"c16927"</definedName>
    <definedName name="IQ_EBIT_EST_REUT" hidden="1">"c5333"</definedName>
    <definedName name="IQ_EBIT_EST_TOTAL_REVISED_2MONTH" hidden="1">"c16358"</definedName>
    <definedName name="IQ_EBIT_EST_TOTAL_REVISED_2MONTH_REUT" hidden="1">"c16934"</definedName>
    <definedName name="IQ_EBIT_EST_TOTAL_REVISED_3MONTH" hidden="1">"c16362"</definedName>
    <definedName name="IQ_EBIT_EST_TOTAL_REVISED_3MONTH_REUT" hidden="1">"c16938"</definedName>
    <definedName name="IQ_EBIT_EST_TOTAL_REVISED_MONTH" hidden="1">"c16354"</definedName>
    <definedName name="IQ_EBIT_EST_TOTAL_REVISED_MONTH_REUT" hidden="1">"c16930"</definedName>
    <definedName name="IQ_EBIT_EST_UP_2MONTH" hidden="1">"c16356"</definedName>
    <definedName name="IQ_EBIT_EST_UP_2MONTH_REUT" hidden="1">"c16932"</definedName>
    <definedName name="IQ_EBIT_EST_UP_3MONTH" hidden="1">"c16360"</definedName>
    <definedName name="IQ_EBIT_EST_UP_3MONTH_REUT" hidden="1">"c16936"</definedName>
    <definedName name="IQ_EBIT_EST_UP_MONTH" hidden="1">"c16352"</definedName>
    <definedName name="IQ_EBIT_EST_UP_MONTH_REUT" hidden="1">"c16928"</definedName>
    <definedName name="IQ_EBIT_EXCL_SBC" hidden="1">"c3082"</definedName>
    <definedName name="IQ_EBIT_GROWTH_1" hidden="1">"c157"</definedName>
    <definedName name="IQ_EBIT_GROWTH_2" hidden="1">"c161"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_COL" hidden="1">"c11478"</definedName>
    <definedName name="IQ_EBIT_GW_EST" hidden="1">"c4305"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REUT" hidden="1">"c16885"</definedName>
    <definedName name="IQ_EBITDA_EST_DOWN_3MONTH" hidden="1">"c16301"</definedName>
    <definedName name="IQ_EBITDA_EST_DOWN_3MONTH_CIQ" hidden="1">"c16625"</definedName>
    <definedName name="IQ_EBITDA_EST_DOWN_3MONTH_REUT" hidden="1">"c16889"</definedName>
    <definedName name="IQ_EBITDA_EST_DOWN_MONTH" hidden="1">"c16293"</definedName>
    <definedName name="IQ_EBITDA_EST_DOWN_MONTH_CIQ" hidden="1">"c16617"</definedName>
    <definedName name="IQ_EBITDA_EST_DOWN_MONTH_REUT" hidden="1">"c16881"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REUT" hidden="1">"c16883"</definedName>
    <definedName name="IQ_EBITDA_EST_NUM_ANALYSTS_3MONTH" hidden="1">"c16299"</definedName>
    <definedName name="IQ_EBITDA_EST_NUM_ANALYSTS_3MONTH_CIQ" hidden="1">"c16623"</definedName>
    <definedName name="IQ_EBITDA_EST_NUM_ANALYSTS_3MONTH_REUT" hidden="1">"c16887"</definedName>
    <definedName name="IQ_EBITDA_EST_NUM_ANALYSTS_MONTH" hidden="1">"c16291"</definedName>
    <definedName name="IQ_EBITDA_EST_NUM_ANALYSTS_MONTH_CIQ" hidden="1">"c16615"</definedName>
    <definedName name="IQ_EBITDA_EST_NUM_ANALYSTS_MONTH_REUT" hidden="1">"c16879"</definedName>
    <definedName name="IQ_EBITDA_EST_REUT" hidden="1">"c3640"</definedName>
    <definedName name="IQ_EBITDA_EST_TOTAL_REVISED_2MONTH" hidden="1">"c16298"</definedName>
    <definedName name="IQ_EBITDA_EST_TOTAL_REVISED_2MONTH_CIQ" hidden="1">"c16622"</definedName>
    <definedName name="IQ_EBITDA_EST_TOTAL_REVISED_2MONTH_REUT" hidden="1">"c16886"</definedName>
    <definedName name="IQ_EBITDA_EST_TOTAL_REVISED_3MONTH" hidden="1">"c16302"</definedName>
    <definedName name="IQ_EBITDA_EST_TOTAL_REVISED_3MONTH_CIQ" hidden="1">"c16626"</definedName>
    <definedName name="IQ_EBITDA_EST_TOTAL_REVISED_3MONTH_REUT" hidden="1">"c16890"</definedName>
    <definedName name="IQ_EBITDA_EST_TOTAL_REVISED_MONTH" hidden="1">"c16294"</definedName>
    <definedName name="IQ_EBITDA_EST_TOTAL_REVISED_MONTH_CIQ" hidden="1">"c16618"</definedName>
    <definedName name="IQ_EBITDA_EST_TOTAL_REVISED_MONTH_REUT" hidden="1">"c16882"</definedName>
    <definedName name="IQ_EBITDA_EST_UP_2MONTH" hidden="1">"c16296"</definedName>
    <definedName name="IQ_EBITDA_EST_UP_2MONTH_CIQ" hidden="1">"c16620"</definedName>
    <definedName name="IQ_EBITDA_EST_UP_2MONTH_REUT" hidden="1">"c16884"</definedName>
    <definedName name="IQ_EBITDA_EST_UP_3MONTH" hidden="1">"c16300"</definedName>
    <definedName name="IQ_EBITDA_EST_UP_3MONTH_CIQ" hidden="1">"c16624"</definedName>
    <definedName name="IQ_EBITDA_EST_UP_3MONTH_REUT" hidden="1">"c16888"</definedName>
    <definedName name="IQ_EBITDA_EST_UP_MONTH" hidden="1">"c16292"</definedName>
    <definedName name="IQ_EBITDA_EST_UP_MONTH_CIQ" hidden="1">"c16616"</definedName>
    <definedName name="IQ_EBITDA_EST_UP_MONTH_REUT" hidden="1">"c16880"</definedName>
    <definedName name="IQ_EBITDA_EXCL_SBC" hidden="1">"c3081"</definedName>
    <definedName name="IQ_EBITDA_GROWTH_1" hidden="1">"c156"</definedName>
    <definedName name="IQ_EBITDA_GROWTH_2" hidden="1">"c160"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REUT" hidden="1">"c16897"</definedName>
    <definedName name="IQ_EPS_EST_DOWN_3MONTH" hidden="1">"c16313"</definedName>
    <definedName name="IQ_EPS_EST_DOWN_3MONTH_CIQ" hidden="1">"c16637"</definedName>
    <definedName name="IQ_EPS_EST_DOWN_3MONTH_REUT" hidden="1">"c16901"</definedName>
    <definedName name="IQ_EPS_EST_DOWN_MONTH" hidden="1">"c16305"</definedName>
    <definedName name="IQ_EPS_EST_DOWN_MONTH_CIQ" hidden="1">"c16629"</definedName>
    <definedName name="IQ_EPS_EST_DOWN_MONTH_REUT" hidden="1">"c16893"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REUT" hidden="1">"c16895"</definedName>
    <definedName name="IQ_EPS_EST_NUM_ANALYSTS_3MONTH" hidden="1">"c16311"</definedName>
    <definedName name="IQ_EPS_EST_NUM_ANALYSTS_3MONTH_CIQ" hidden="1">"c16635"</definedName>
    <definedName name="IQ_EPS_EST_NUM_ANALYSTS_3MONTH_REUT" hidden="1">"c16899"</definedName>
    <definedName name="IQ_EPS_EST_NUM_ANALYSTS_MONTH" hidden="1">"c16303"</definedName>
    <definedName name="IQ_EPS_EST_NUM_ANALYSTS_MONTH_CIQ" hidden="1">"c16627"</definedName>
    <definedName name="IQ_EPS_EST_NUM_ANALYSTS_MONTH_REUT" hidden="1">"c16891"</definedName>
    <definedName name="IQ_EPS_EST_REUT" hidden="1">"c5453"</definedName>
    <definedName name="IQ_EPS_EST_TOTAL_REVISED_2MONTH" hidden="1">"c16310"</definedName>
    <definedName name="IQ_EPS_EST_TOTAL_REVISED_2MONTH_CIQ" hidden="1">"c16634"</definedName>
    <definedName name="IQ_EPS_EST_TOTAL_REVISED_2MONTH_REUT" hidden="1">"c16898"</definedName>
    <definedName name="IQ_EPS_EST_TOTAL_REVISED_3MONTH" hidden="1">"c16314"</definedName>
    <definedName name="IQ_EPS_EST_TOTAL_REVISED_3MONTH_CIQ" hidden="1">"c16638"</definedName>
    <definedName name="IQ_EPS_EST_TOTAL_REVISED_3MONTH_REUT" hidden="1">"c16902"</definedName>
    <definedName name="IQ_EPS_EST_TOTAL_REVISED_MONTH" hidden="1">"c16306"</definedName>
    <definedName name="IQ_EPS_EST_TOTAL_REVISED_MONTH_CIQ" hidden="1">"c16630"</definedName>
    <definedName name="IQ_EPS_EST_TOTAL_REVISED_MONTH_REUT" hidden="1">"c16894"</definedName>
    <definedName name="IQ_EPS_EST_UP_2MONTH" hidden="1">"c16308"</definedName>
    <definedName name="IQ_EPS_EST_UP_2MONTH_CIQ" hidden="1">"c16632"</definedName>
    <definedName name="IQ_EPS_EST_UP_2MONTH_REUT" hidden="1">"c16896"</definedName>
    <definedName name="IQ_EPS_EST_UP_3MONTH" hidden="1">"c16312"</definedName>
    <definedName name="IQ_EPS_EST_UP_3MONTH_CIQ" hidden="1">"c16636"</definedName>
    <definedName name="IQ_EPS_EST_UP_3MONTH_REUT" hidden="1">"c16900"</definedName>
    <definedName name="IQ_EPS_EST_UP_MONTH" hidden="1">"c16304"</definedName>
    <definedName name="IQ_EPS_EST_UP_MONTH_CIQ" hidden="1">"c16628"</definedName>
    <definedName name="IQ_EPS_EST_UP_MONTH_REUT" hidden="1">"c16892"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REUT" hidden="1">"c17029"</definedName>
    <definedName name="IQ_EPS_GW_EST_DOWN_3MONTH" hidden="1">"c16469"</definedName>
    <definedName name="IQ_EPS_GW_EST_DOWN_3MONTH_CIQ" hidden="1">"c16757"</definedName>
    <definedName name="IQ_EPS_GW_EST_DOWN_3MONTH_REUT" hidden="1">"c17033"</definedName>
    <definedName name="IQ_EPS_GW_EST_DOWN_MONTH" hidden="1">"c16461"</definedName>
    <definedName name="IQ_EPS_GW_EST_DOWN_MONTH_CIQ" hidden="1">"c16749"</definedName>
    <definedName name="IQ_EPS_GW_EST_DOWN_MONTH_REUT" hidden="1">"c17025"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REUT" hidden="1">"c17027"</definedName>
    <definedName name="IQ_EPS_GW_EST_NUM_ANALYSTS_3MONTH" hidden="1">"c16467"</definedName>
    <definedName name="IQ_EPS_GW_EST_NUM_ANALYSTS_3MONTH_CIQ" hidden="1">"c16755"</definedName>
    <definedName name="IQ_EPS_GW_EST_NUM_ANALYSTS_3MONTH_REUT" hidden="1">"c17031"</definedName>
    <definedName name="IQ_EPS_GW_EST_NUM_ANALYSTS_MONTH" hidden="1">"c16459"</definedName>
    <definedName name="IQ_EPS_GW_EST_NUM_ANALYSTS_MONTH_CIQ" hidden="1">"c16747"</definedName>
    <definedName name="IQ_EPS_GW_EST_NUM_ANALYSTS_MONTH_REUT" hidden="1">"c17023"</definedName>
    <definedName name="IQ_EPS_GW_EST_REUT" hidden="1">"c5389"</definedName>
    <definedName name="IQ_EPS_GW_EST_TOTAL_REVISED_2MONTH" hidden="1">"c16466"</definedName>
    <definedName name="IQ_EPS_GW_EST_TOTAL_REVISED_2MONTH_CIQ" hidden="1">"c16754"</definedName>
    <definedName name="IQ_EPS_GW_EST_TOTAL_REVISED_2MONTH_REUT" hidden="1">"c17030"</definedName>
    <definedName name="IQ_EPS_GW_EST_TOTAL_REVISED_3MONTH" hidden="1">"c16470"</definedName>
    <definedName name="IQ_EPS_GW_EST_TOTAL_REVISED_3MONTH_CIQ" hidden="1">"c16758"</definedName>
    <definedName name="IQ_EPS_GW_EST_TOTAL_REVISED_3MONTH_REUT" hidden="1">"c17034"</definedName>
    <definedName name="IQ_EPS_GW_EST_TOTAL_REVISED_MONTH" hidden="1">"c16462"</definedName>
    <definedName name="IQ_EPS_GW_EST_TOTAL_REVISED_MONTH_CIQ" hidden="1">"c16750"</definedName>
    <definedName name="IQ_EPS_GW_EST_TOTAL_REVISED_MONTH_REUT" hidden="1">"c17026"</definedName>
    <definedName name="IQ_EPS_GW_EST_UP_2MONTH" hidden="1">"c16464"</definedName>
    <definedName name="IQ_EPS_GW_EST_UP_2MONTH_CIQ" hidden="1">"c16752"</definedName>
    <definedName name="IQ_EPS_GW_EST_UP_2MONTH_REUT" hidden="1">"c17028"</definedName>
    <definedName name="IQ_EPS_GW_EST_UP_3MONTH" hidden="1">"c16468"</definedName>
    <definedName name="IQ_EPS_GW_EST_UP_3MONTH_CIQ" hidden="1">"c16756"</definedName>
    <definedName name="IQ_EPS_GW_EST_UP_3MONTH_REUT" hidden="1">"c17032"</definedName>
    <definedName name="IQ_EPS_GW_EST_UP_MONTH" hidden="1">"c16460"</definedName>
    <definedName name="IQ_EPS_GW_EST_UP_MONTH_CIQ" hidden="1">"c16748"</definedName>
    <definedName name="IQ_EPS_GW_EST_UP_MONTH_REUT" hidden="1">"c17024"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2MONTH_REUT" hidden="1">"c17137"</definedName>
    <definedName name="IQ_EPS_NORM_EST_DOWN_3MONTH" hidden="1">"c16601"</definedName>
    <definedName name="IQ_EPS_NORM_EST_DOWN_3MONTH_CIQ" hidden="1">"c16865"</definedName>
    <definedName name="IQ_EPS_NORM_EST_DOWN_3MONTH_REUT" hidden="1">"c17141"</definedName>
    <definedName name="IQ_EPS_NORM_EST_DOWN_MONTH" hidden="1">"c16593"</definedName>
    <definedName name="IQ_EPS_NORM_EST_DOWN_MONTH_CIQ" hidden="1">"c16857"</definedName>
    <definedName name="IQ_EPS_NORM_EST_DOWN_MONTH_REUT" hidden="1">"c17133"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2MONTH_REUT" hidden="1">"c17135"</definedName>
    <definedName name="IQ_EPS_NORM_EST_NUM_ANALYSTS_3MONTH" hidden="1">"c16599"</definedName>
    <definedName name="IQ_EPS_NORM_EST_NUM_ANALYSTS_3MONTH_CIQ" hidden="1">"c16863"</definedName>
    <definedName name="IQ_EPS_NORM_EST_NUM_ANALYSTS_3MONTH_REUT" hidden="1">"c17139"</definedName>
    <definedName name="IQ_EPS_NORM_EST_NUM_ANALYSTS_MONTH" hidden="1">"c16591"</definedName>
    <definedName name="IQ_EPS_NORM_EST_NUM_ANALYSTS_MONTH_CIQ" hidden="1">"c16855"</definedName>
    <definedName name="IQ_EPS_NORM_EST_NUM_ANALYSTS_MONTH_REUT" hidden="1">"c17131"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2MONTH_REUT" hidden="1">"c17138"</definedName>
    <definedName name="IQ_EPS_NORM_EST_TOTAL_REVISED_3MONTH" hidden="1">"c16602"</definedName>
    <definedName name="IQ_EPS_NORM_EST_TOTAL_REVISED_3MONTH_CIQ" hidden="1">"c16866"</definedName>
    <definedName name="IQ_EPS_NORM_EST_TOTAL_REVISED_3MONTH_REUT" hidden="1">"c17142"</definedName>
    <definedName name="IQ_EPS_NORM_EST_TOTAL_REVISED_MONTH" hidden="1">"c16594"</definedName>
    <definedName name="IQ_EPS_NORM_EST_TOTAL_REVISED_MONTH_CIQ" hidden="1">"c16858"</definedName>
    <definedName name="IQ_EPS_NORM_EST_TOTAL_REVISED_MONTH_REUT" hidden="1">"c17134"</definedName>
    <definedName name="IQ_EPS_NORM_EST_UP_2MONTH" hidden="1">"c16596"</definedName>
    <definedName name="IQ_EPS_NORM_EST_UP_2MONTH_CIQ" hidden="1">"c16860"</definedName>
    <definedName name="IQ_EPS_NORM_EST_UP_2MONTH_REUT" hidden="1">"c17136"</definedName>
    <definedName name="IQ_EPS_NORM_EST_UP_3MONTH" hidden="1">"c16600"</definedName>
    <definedName name="IQ_EPS_NORM_EST_UP_3MONTH_CIQ" hidden="1">"c16864"</definedName>
    <definedName name="IQ_EPS_NORM_EST_UP_3MONTH_REUT" hidden="1">"c17140"</definedName>
    <definedName name="IQ_EPS_NORM_EST_UP_MONTH" hidden="1">"c16592"</definedName>
    <definedName name="IQ_EPS_NORM_EST_UP_MONTH_CIQ" hidden="1">"c16856"</definedName>
    <definedName name="IQ_EPS_NORM_EST_UP_MONTH_REUT" hidden="1">"c17132"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REUT" hidden="1">"c17041"</definedName>
    <definedName name="IQ_EPS_REPORTED_EST_DOWN_3MONTH" hidden="1">"c16481"</definedName>
    <definedName name="IQ_EPS_REPORTED_EST_DOWN_3MONTH_CIQ" hidden="1">"c16769"</definedName>
    <definedName name="IQ_EPS_REPORTED_EST_DOWN_3MONTH_REUT" hidden="1">"c17045"</definedName>
    <definedName name="IQ_EPS_REPORTED_EST_DOWN_MONTH" hidden="1">"c16473"</definedName>
    <definedName name="IQ_EPS_REPORTED_EST_DOWN_MONTH_CIQ" hidden="1">"c16761"</definedName>
    <definedName name="IQ_EPS_REPORTED_EST_DOWN_MONTH_REUT" hidden="1">"c17037"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REUT" hidden="1">"c17039"</definedName>
    <definedName name="IQ_EPS_REPORTED_EST_NUM_ANALYSTS_3MONTH" hidden="1">"c16479"</definedName>
    <definedName name="IQ_EPS_REPORTED_EST_NUM_ANALYSTS_3MONTH_CIQ" hidden="1">"c16767"</definedName>
    <definedName name="IQ_EPS_REPORTED_EST_NUM_ANALYSTS_3MONTH_REUT" hidden="1">"c17043"</definedName>
    <definedName name="IQ_EPS_REPORTED_EST_NUM_ANALYSTS_MONTH" hidden="1">"c16471"</definedName>
    <definedName name="IQ_EPS_REPORTED_EST_NUM_ANALYSTS_MONTH_CIQ" hidden="1">"c16759"</definedName>
    <definedName name="IQ_EPS_REPORTED_EST_NUM_ANALYSTS_MONTH_REUT" hidden="1">"c17035"</definedName>
    <definedName name="IQ_EPS_REPORTED_EST_REUT" hidden="1">"c5396"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REUT" hidden="1">"c17042"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REUT" hidden="1">"c17046"</definedName>
    <definedName name="IQ_EPS_REPORTED_EST_TOTAL_REVISED_MONTH" hidden="1">"c16474"</definedName>
    <definedName name="IQ_EPS_REPORTED_EST_TOTAL_REVISED_MONTH_CIQ" hidden="1">"c16762"</definedName>
    <definedName name="IQ_EPS_REPORTED_EST_TOTAL_REVISED_MONTH_REUT" hidden="1">"c17038"</definedName>
    <definedName name="IQ_EPS_REPORTED_EST_UP_2MONTH" hidden="1">"c16476"</definedName>
    <definedName name="IQ_EPS_REPORTED_EST_UP_2MONTH_CIQ" hidden="1">"c16764"</definedName>
    <definedName name="IQ_EPS_REPORTED_EST_UP_2MONTH_REUT" hidden="1">"c17040"</definedName>
    <definedName name="IQ_EPS_REPORTED_EST_UP_3MONTH" hidden="1">"c16480"</definedName>
    <definedName name="IQ_EPS_REPORTED_EST_UP_3MONTH_CIQ" hidden="1">"c16768"</definedName>
    <definedName name="IQ_EPS_REPORTED_EST_UP_3MONTH_REUT" hidden="1">"c17044"</definedName>
    <definedName name="IQ_EPS_REPORTED_EST_UP_MONTH" hidden="1">"c16472"</definedName>
    <definedName name="IQ_EPS_REPORTED_EST_UP_MONTH_CIQ" hidden="1">"c16760"</definedName>
    <definedName name="IQ_EPS_REPORTED_EST_UP_MONTH_REUT" hidden="1">"c17036"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CIQ_COL" hidden="1">"c11568"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CIQ_COL" hidden="1">"c11579"</definedName>
    <definedName name="IQ_EST_ACT_FFO_SHARE" hidden="1">"c1666"</definedName>
    <definedName name="IQ_EST_ACT_FFO_SHARE_REUT" hidden="1">"c3843"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CIQ" hidden="1">"c3666"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DIFF_CIQ_COL" hidden="1">"c11213"</definedName>
    <definedName name="IQ_EST_CASH_FLOW_SURPRISE_PERCENT" hidden="1">"c4161"</definedName>
    <definedName name="IQ_EST_CASH_FLOW_SURPRISE_PERCENT_CIQ_COL" hidden="1">"c11222"</definedName>
    <definedName name="IQ_EST_CASH_OPER_DIFF" hidden="1">"c4162"</definedName>
    <definedName name="IQ_EST_CASH_OPER_DIFF_CIQ_COL" hidden="1">"c11223"</definedName>
    <definedName name="IQ_EST_CASH_OPER_SURPRISE_PERCENT" hidden="1">"c4248"</definedName>
    <definedName name="IQ_EST_CASH_OPER_SURPRISE_PERCENT_CIQ_COL" hidden="1">"c11421"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DIFF_CIQ_COL" hidden="1">"c11448"</definedName>
    <definedName name="IQ_EST_DISTRIBUTABLE_CASH_GROWTH_1YR" hidden="1">"c4413"</definedName>
    <definedName name="IQ_EST_DISTRIBUTABLE_CASH_GROWTH_1YR_CIQ_COL" hidden="1">"c11585"</definedName>
    <definedName name="IQ_EST_DISTRIBUTABLE_CASH_GROWTH_2YR" hidden="1">"c4414"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_COL" hidden="1">"c11588"</definedName>
    <definedName name="IQ_EST_DISTRIBUTABLE_CASH_SHARE_DIFF" hidden="1">"c4284"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_COL" hidden="1">"c11467"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DIFF_CIQ_COL" hidden="1">"c11476"</definedName>
    <definedName name="IQ_EST_EBIT_GW_SURPRISE_PERCENT" hidden="1">"c4313"</definedName>
    <definedName name="IQ_EST_EBIT_GW_SURPRISE_PERCENT_CIQ_COL" hidden="1">"c11485"</definedName>
    <definedName name="IQ_EST_EBIT_SBC_DIFF" hidden="1">"c4314"</definedName>
    <definedName name="IQ_EST_EBIT_SBC_DIFF_CIQ_COL" hidden="1">"c11486"</definedName>
    <definedName name="IQ_EST_EBIT_SBC_GW_DIFF" hidden="1">"c4318"</definedName>
    <definedName name="IQ_EST_EBIT_SBC_GW_DIFF_CIQ_COL" hidden="1">"c11490"</definedName>
    <definedName name="IQ_EST_EBIT_SBC_GW_SURPRISE_PERCENT" hidden="1">"c4327"</definedName>
    <definedName name="IQ_EST_EBIT_SBC_GW_SURPRISE_PERCENT_CIQ_COL" hidden="1">"c11499"</definedName>
    <definedName name="IQ_EST_EBIT_SBC_SURPRISE_PERCENT" hidden="1">"c4333"</definedName>
    <definedName name="IQ_EST_EBIT_SBC_SURPRISE_PERCENT_CIQ_COL" hidden="1">"c11505"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SBC_DIFF" hidden="1">"c4335"</definedName>
    <definedName name="IQ_EST_EBITDA_SBC_DIFF_CIQ_COL" hidden="1">"c11507"</definedName>
    <definedName name="IQ_EST_EBITDA_SBC_SURPRISE_PERCENT" hidden="1">"c4344"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T_SBC_DIFF" hidden="1">"c4348"</definedName>
    <definedName name="IQ_EST_EBT_SBC_DIFF_CIQ_COL" hidden="1">"c11520"</definedName>
    <definedName name="IQ_EST_EBT_SBC_GW_DIFF" hidden="1">"c4352"</definedName>
    <definedName name="IQ_EST_EBT_SBC_GW_DIFF_CIQ_COL" hidden="1">"c11524"</definedName>
    <definedName name="IQ_EST_EBT_SBC_GW_SURPRISE_PERCENT" hidden="1">"c4361"</definedName>
    <definedName name="IQ_EST_EBT_SBC_GW_SURPRISE_PERCENT_CIQ_COL" hidden="1">"c11533"</definedName>
    <definedName name="IQ_EST_EBT_SBC_SURPRISE_PERCENT" hidden="1">"c4367"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DIFF_CIQ_COL" hidden="1">"c11546"</definedName>
    <definedName name="IQ_EST_EPS_SBC_GW_DIFF" hidden="1">"c4378"</definedName>
    <definedName name="IQ_EST_EPS_SBC_GW_DIFF_CIQ_COL" hidden="1">"c11550"</definedName>
    <definedName name="IQ_EST_EPS_SBC_GW_SURPRISE_PERCENT" hidden="1">"c4387"</definedName>
    <definedName name="IQ_EST_EPS_SBC_GW_SURPRISE_PERCENT_CIQ_COL" hidden="1">"c11559"</definedName>
    <definedName name="IQ_EST_EPS_SBC_SURPRISE_PERCENT" hidden="1">"c4393"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FAIR_VALUE_MORT_SERVICING_ASSETS_FFIEC" hidden="1">"c12956"</definedName>
    <definedName name="IQ_EST_FFO_ADJ_DIFF" hidden="1">"c4433"</definedName>
    <definedName name="IQ_EST_FFO_ADJ_DIFF_CIQ_COL" hidden="1">"c11605"</definedName>
    <definedName name="IQ_EST_FFO_ADJ_GROWTH_1YR" hidden="1">"c4421"</definedName>
    <definedName name="IQ_EST_FFO_ADJ_GROWTH_1YR_CIQ_COL" hidden="1">"c11593"</definedName>
    <definedName name="IQ_EST_FFO_ADJ_GROWTH_2YR" hidden="1">"c4422"</definedName>
    <definedName name="IQ_EST_FFO_ADJ_GROWTH_2YR_CIQ_COL" hidden="1">"c11594"</definedName>
    <definedName name="IQ_EST_FFO_ADJ_GROWTH_Q_1YR" hidden="1">"c4423"</definedName>
    <definedName name="IQ_EST_FFO_ADJ_GROWTH_Q_1YR_CIQ_COL" hidden="1">"c11595"</definedName>
    <definedName name="IQ_EST_FFO_ADJ_SEQ_GROWTH_Q" hidden="1">"c4424"</definedName>
    <definedName name="IQ_EST_FFO_ADJ_SEQ_GROWTH_Q_CIQ_COL" hidden="1">"c11596"</definedName>
    <definedName name="IQ_EST_FFO_ADJ_SURPRISE_PERCENT" hidden="1">"c4442"</definedName>
    <definedName name="IQ_EST_FFO_ADJ_SURPRISE_PERCENT_CIQ_COL" hidden="1">"c11614"</definedName>
    <definedName name="IQ_EST_FFO_DIFF" hidden="1">"c1869"</definedName>
    <definedName name="IQ_EST_FFO_DIFF_CIQ_COL" hidden="1">"c11616"</definedName>
    <definedName name="IQ_EST_FFO_GROWTH_1YR" hidden="1">"c1770"</definedName>
    <definedName name="IQ_EST_FFO_GROWTH_1YR_CIQ_COL" hidden="1">"c11597"</definedName>
    <definedName name="IQ_EST_FFO_GROWTH_1YR_REUT" hidden="1">"c3874"</definedName>
    <definedName name="IQ_EST_FFO_GROWTH_2YR" hidden="1">"c1771"</definedName>
    <definedName name="IQ_EST_FFO_GROWTH_2YR_CIQ_COL" hidden="1">"c11598"</definedName>
    <definedName name="IQ_EST_FFO_GROWTH_2YR_REUT" hidden="1">"c3875"</definedName>
    <definedName name="IQ_EST_FFO_GROWTH_Q_1YR" hidden="1">"c1772"</definedName>
    <definedName name="IQ_EST_FFO_GROWTH_Q_1YR_CIQ_COL" hidden="1">"c11599"</definedName>
    <definedName name="IQ_EST_FFO_GROWTH_Q_1YR_REUT" hidden="1">"c3876"</definedName>
    <definedName name="IQ_EST_FFO_SEQ_GROWTH_Q" hidden="1">"c1773"</definedName>
    <definedName name="IQ_EST_FFO_SEQ_GROWTH_Q_CIQ_COL" hidden="1">"c11600"</definedName>
    <definedName name="IQ_EST_FFO_SEQ_GROWTH_Q_REUT" hidden="1">"c3877"</definedName>
    <definedName name="IQ_EST_FFO_SHARE_DIFF" hidden="1">"c1869"</definedName>
    <definedName name="IQ_EST_FFO_SHARE_DIFF_REUT" hidden="1">"c3890"</definedName>
    <definedName name="IQ_EST_FFO_SHARE_GROWTH_1YR" hidden="1">"c1770"</definedName>
    <definedName name="IQ_EST_FFO_SHARE_GROWTH_2YR" hidden="1">"c1771"</definedName>
    <definedName name="IQ_EST_FFO_SHARE_GROWTH_Q_1YR" hidden="1">"c1772"</definedName>
    <definedName name="IQ_EST_FFO_SHARE_SEQ_GROWTH_Q" hidden="1">"c1773"</definedName>
    <definedName name="IQ_EST_FFO_SHARE_SURPRISE_PERCENT" hidden="1">"c1870"</definedName>
    <definedName name="IQ_EST_FFO_SHARE_SURPRISE_PERCENT_REUT" hidden="1">"c3891"</definedName>
    <definedName name="IQ_EST_FFO_SURPRISE_PERCENT" hidden="1">"c1870"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DIFF_CIQ_COL" hidden="1">"c11632"</definedName>
    <definedName name="IQ_EST_MAINT_CAPEX_GROWTH_1YR" hidden="1">"c4429"</definedName>
    <definedName name="IQ_EST_MAINT_CAPEX_GROWTH_1YR_CIQ_COL" hidden="1">"c11601"</definedName>
    <definedName name="IQ_EST_MAINT_CAPEX_GROWTH_2YR" hidden="1">"c4430"</definedName>
    <definedName name="IQ_EST_MAINT_CAPEX_GROWTH_2YR_CIQ_COL" hidden="1">"c11602"</definedName>
    <definedName name="IQ_EST_MAINT_CAPEX_GROWTH_Q_1YR" hidden="1">"c4431"</definedName>
    <definedName name="IQ_EST_MAINT_CAPEX_GROWTH_Q_1YR_CIQ_COL" hidden="1">"c11603"</definedName>
    <definedName name="IQ_EST_MAINT_CAPEX_SEQ_GROWTH_Q" hidden="1">"c4432"</definedName>
    <definedName name="IQ_EST_MAINT_CAPEX_SEQ_GROWTH_Q_CIQ_COL" hidden="1">"c11604"</definedName>
    <definedName name="IQ_EST_MAINT_CAPEX_SURPRISE_PERCENT" hidden="1">"c4465"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DIFF_CIQ_COL" hidden="1">"c11657"</definedName>
    <definedName name="IQ_EST_NI_SBC_GW_DIFF" hidden="1">"c4476"</definedName>
    <definedName name="IQ_EST_NI_SBC_GW_DIFF_CIQ_COL" hidden="1">"c11661"</definedName>
    <definedName name="IQ_EST_NI_SBC_GW_SURPRISE_PERCENT" hidden="1">"c4485"</definedName>
    <definedName name="IQ_EST_NI_SBC_GW_SURPRISE_PERCENT_CIQ_COL" hidden="1">"c11670"</definedName>
    <definedName name="IQ_EST_NI_SBC_SURPRISE_PERCENT" hidden="1">"c4491"</definedName>
    <definedName name="IQ_EST_NI_SBC_SURPRISE_PERCENT_CIQ_COL" hidden="1">"c11676"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ERIOD_ID" hidden="1">"c13923"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"aaz96"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_COL" hidden="1">"c11626"</definedName>
    <definedName name="IQ_FFO_NUM_EST" hidden="1">"c421"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"c2216"</definedName>
    <definedName name="IQ_FFO_SHARE_ACT_OR_EST_CIQ" hidden="1">"c4971"</definedName>
    <definedName name="IQ_FFO_SHARE_ACT_OR_EST_CIQ_COL" hidden="1">"c11618"</definedName>
    <definedName name="IQ_FFO_SHARE_EST" hidden="1">"c418"</definedName>
    <definedName name="IQ_FFO_SHARE_EST_DOWN_2MONTH" hidden="1">"c16585"</definedName>
    <definedName name="IQ_FFO_SHARE_EST_DOWN_2MONTH_REUT" hidden="1">"c17125"</definedName>
    <definedName name="IQ_FFO_SHARE_EST_DOWN_3MONTH" hidden="1">"c16589"</definedName>
    <definedName name="IQ_FFO_SHARE_EST_DOWN_3MONTH_REUT" hidden="1">"c17129"</definedName>
    <definedName name="IQ_FFO_SHARE_EST_DOWN_MONTH" hidden="1">"c16581"</definedName>
    <definedName name="IQ_FFO_SHARE_EST_DOWN_MONTH_REUT" hidden="1">"c17121"</definedName>
    <definedName name="IQ_FFO_SHARE_EST_NUM_ANALYSTS_2MONTH" hidden="1">"c16583"</definedName>
    <definedName name="IQ_FFO_SHARE_EST_NUM_ANALYSTS_2MONTH_REUT" hidden="1">"c17123"</definedName>
    <definedName name="IQ_FFO_SHARE_EST_NUM_ANALYSTS_3MONTH" hidden="1">"c16587"</definedName>
    <definedName name="IQ_FFO_SHARE_EST_NUM_ANALYSTS_3MONTH_REUT" hidden="1">"c17127"</definedName>
    <definedName name="IQ_FFO_SHARE_EST_NUM_ANALYSTS_MONTH" hidden="1">"c16579"</definedName>
    <definedName name="IQ_FFO_SHARE_EST_NUM_ANALYSTS_MONTH_REUT" hidden="1">"c17119"</definedName>
    <definedName name="IQ_FFO_SHARE_EST_REUT" hidden="1">"c3837"</definedName>
    <definedName name="IQ_FFO_SHARE_EST_TOTAL_REVISED_2MONTH" hidden="1">"c16586"</definedName>
    <definedName name="IQ_FFO_SHARE_EST_TOTAL_REVISED_2MONTH_REUT" hidden="1">"c17126"</definedName>
    <definedName name="IQ_FFO_SHARE_EST_TOTAL_REVISED_3MONTH" hidden="1">"c16590"</definedName>
    <definedName name="IQ_FFO_SHARE_EST_TOTAL_REVISED_3MONTH_REUT" hidden="1">"c17130"</definedName>
    <definedName name="IQ_FFO_SHARE_EST_TOTAL_REVISED_MONTH" hidden="1">"c16582"</definedName>
    <definedName name="IQ_FFO_SHARE_EST_TOTAL_REVISED_MONTH_REUT" hidden="1">"c17122"</definedName>
    <definedName name="IQ_FFO_SHARE_EST_UP_2MONTH" hidden="1">"c16584"</definedName>
    <definedName name="IQ_FFO_SHARE_EST_UP_2MONTH_REUT" hidden="1">"c17124"</definedName>
    <definedName name="IQ_FFO_SHARE_EST_UP_3MONTH" hidden="1">"c16588"</definedName>
    <definedName name="IQ_FFO_SHARE_EST_UP_3MONTH_REUT" hidden="1">"c17128"</definedName>
    <definedName name="IQ_FFO_SHARE_EST_UP_MONTH" hidden="1">"c16580"</definedName>
    <definedName name="IQ_FFO_SHARE_EST_UP_MONTH_REUT" hidden="1">"c17120"</definedName>
    <definedName name="IQ_FFO_SHARE_GUIDANCE_CIQ" hidden="1">"c4976"</definedName>
    <definedName name="IQ_FFO_SHARE_GUIDANCE_CIQ_COL" hidden="1">"c11623"</definedName>
    <definedName name="IQ_FFO_SHARE_HIGH_EST" hidden="1">"c419"</definedName>
    <definedName name="IQ_FFO_SHARE_HIGH_EST_REUT" hidden="1">"c3839"</definedName>
    <definedName name="IQ_FFO_SHARE_HIGH_GUIDANCE_CIQ" hidden="1">"c4615"</definedName>
    <definedName name="IQ_FFO_SHARE_HIGH_GUIDANCE_CIQ_COL" hidden="1">"c11264"</definedName>
    <definedName name="IQ_FFO_SHARE_LOW_EST" hidden="1">"c420"</definedName>
    <definedName name="IQ_FFO_SHARE_LOW_EST_REUT" hidden="1">"c3840"</definedName>
    <definedName name="IQ_FFO_SHARE_LOW_GUIDANCE_CIQ" hidden="1">"c4655"</definedName>
    <definedName name="IQ_FFO_SHARE_LOW_GUIDANCE_CIQ_COL" hidden="1">"c11304"</definedName>
    <definedName name="IQ_FFO_SHARE_MEDIAN_EST" hidden="1">"c1665"</definedName>
    <definedName name="IQ_FFO_SHARE_MEDIAN_EST_REUT" hidden="1">"c3838"</definedName>
    <definedName name="IQ_FFO_SHARE_NUM_EST" hidden="1">"c421"</definedName>
    <definedName name="IQ_FFO_SHARE_NUM_EST_REUT" hidden="1">"c3841"</definedName>
    <definedName name="IQ_FFO_SHARE_STDDEV_EST" hidden="1">"c422"</definedName>
    <definedName name="IQ_FFO_SHARE_STDDEV_EST_REUT" hidden="1">"c3842"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_COL" hidden="1">"c11628"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EST_DOWN_2MONTH" hidden="1">"c16381"</definedName>
    <definedName name="IQ_GROSS_MARGIN_EST_DOWN_3MONTH" hidden="1">"c16385"</definedName>
    <definedName name="IQ_GROSS_MARGIN_EST_DOWN_MONTH" hidden="1">"c16377"</definedName>
    <definedName name="IQ_GROSS_MARGIN_EST_NUM_ANALYSTS_2MONTH" hidden="1">"c16379"</definedName>
    <definedName name="IQ_GROSS_MARGIN_EST_NUM_ANALYSTS_3MONTH" hidden="1">"c16383"</definedName>
    <definedName name="IQ_GROSS_MARGIN_EST_NUM_ANALYSTS_MONTH" hidden="1">"c16375"</definedName>
    <definedName name="IQ_GROSS_MARGIN_EST_TOTAL_REVISED_2MONTH" hidden="1">"c16382"</definedName>
    <definedName name="IQ_GROSS_MARGIN_EST_TOTAL_REVISED_3MONTH" hidden="1">"c16386"</definedName>
    <definedName name="IQ_GROSS_MARGIN_EST_TOTAL_REVISED_MONTH" hidden="1">"c16378"</definedName>
    <definedName name="IQ_GROSS_MARGIN_EST_UP_2MONTH" hidden="1">"c16380"</definedName>
    <definedName name="IQ_GROSS_MARGIN_EST_UP_3MONTH" hidden="1">"c16384"</definedName>
    <definedName name="IQ_GROSS_MARGIN_EST_UP_MONTH" hidden="1">"c16376"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>40951.6028240741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EST" hidden="1">"c1751"</definedName>
    <definedName name="IQ_NAV_EST_DOWN_2MONTH" hidden="1">"c16501"</definedName>
    <definedName name="IQ_NAV_EST_DOWN_3MONTH" hidden="1">"c16505"</definedName>
    <definedName name="IQ_NAV_EST_DOWN_MONTH" hidden="1">"c16497"</definedName>
    <definedName name="IQ_NAV_EST_NUM_ANALYSTS_2MONTH" hidden="1">"c16499"</definedName>
    <definedName name="IQ_NAV_EST_NUM_ANALYSTS_3MONTH" hidden="1">"c16503"</definedName>
    <definedName name="IQ_NAV_EST_NUM_ANALYSTS_MONTH" hidden="1">"c16495"</definedName>
    <definedName name="IQ_NAV_EST_TOTAL_REVISED_2MONTH" hidden="1">"c16502"</definedName>
    <definedName name="IQ_NAV_EST_TOTAL_REVISED_3MONTH" hidden="1">"c16506"</definedName>
    <definedName name="IQ_NAV_EST_TOTAL_REVISED_MONTH" hidden="1">"c16498"</definedName>
    <definedName name="IQ_NAV_EST_UP_2MONTH" hidden="1">"c16500"</definedName>
    <definedName name="IQ_NAV_EST_UP_3MONTH" hidden="1">"c16504"</definedName>
    <definedName name="IQ_NAV_EST_UP_MONTH" hidden="1">"c16496"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DOWN_2MONTH" hidden="1">"c16561"</definedName>
    <definedName name="IQ_NAV_SHARE_EST_DOWN_2MONTH_REUT" hidden="1">"c17101"</definedName>
    <definedName name="IQ_NAV_SHARE_EST_DOWN_3MONTH" hidden="1">"c16565"</definedName>
    <definedName name="IQ_NAV_SHARE_EST_DOWN_3MONTH_REUT" hidden="1">"c17105"</definedName>
    <definedName name="IQ_NAV_SHARE_EST_DOWN_MONTH" hidden="1">"c16557"</definedName>
    <definedName name="IQ_NAV_SHARE_EST_DOWN_MONTH_REUT" hidden="1">"c17097"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2MONTH_REUT" hidden="1">"c17099"</definedName>
    <definedName name="IQ_NAV_SHARE_EST_NUM_ANALYSTS_3MONTH" hidden="1">"c16563"</definedName>
    <definedName name="IQ_NAV_SHARE_EST_NUM_ANALYSTS_3MONTH_REUT" hidden="1">"c17103"</definedName>
    <definedName name="IQ_NAV_SHARE_EST_NUM_ANALYSTS_MONTH" hidden="1">"c16555"</definedName>
    <definedName name="IQ_NAV_SHARE_EST_NUM_ANALYSTS_MONTH_REUT" hidden="1">"c17095"</definedName>
    <definedName name="IQ_NAV_SHARE_EST_REUT" hidden="1">"c5617"</definedName>
    <definedName name="IQ_NAV_SHARE_EST_TOTAL_REVISED_2MONTH" hidden="1">"c16562"</definedName>
    <definedName name="IQ_NAV_SHARE_EST_TOTAL_REVISED_2MONTH_REUT" hidden="1">"c17102"</definedName>
    <definedName name="IQ_NAV_SHARE_EST_TOTAL_REVISED_3MONTH" hidden="1">"c16566"</definedName>
    <definedName name="IQ_NAV_SHARE_EST_TOTAL_REVISED_3MONTH_REUT" hidden="1">"c17106"</definedName>
    <definedName name="IQ_NAV_SHARE_EST_TOTAL_REVISED_MONTH" hidden="1">"c16558"</definedName>
    <definedName name="IQ_NAV_SHARE_EST_TOTAL_REVISED_MONTH_REUT" hidden="1">"c17098"</definedName>
    <definedName name="IQ_NAV_SHARE_EST_UP_2MONTH" hidden="1">"c16560"</definedName>
    <definedName name="IQ_NAV_SHARE_EST_UP_2MONTH_REUT" hidden="1">"c17100"</definedName>
    <definedName name="IQ_NAV_SHARE_EST_UP_3MONTH" hidden="1">"c16564"</definedName>
    <definedName name="IQ_NAV_SHARE_EST_UP_3MONTH_REUT" hidden="1">"c17104"</definedName>
    <definedName name="IQ_NAV_SHARE_EST_UP_MONTH" hidden="1">"c16556"</definedName>
    <definedName name="IQ_NAV_SHARE_EST_UP_MONTH_REUT" hidden="1">"c17096"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_COL" hidden="1">"c11717"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DOWN_2MONTH" hidden="1">"c16513"</definedName>
    <definedName name="IQ_NET_DEBT_EST_DOWN_2MONTH_REUT" hidden="1">"c17053"</definedName>
    <definedName name="IQ_NET_DEBT_EST_DOWN_3MONTH" hidden="1">"c16517"</definedName>
    <definedName name="IQ_NET_DEBT_EST_DOWN_3MONTH_REUT" hidden="1">"c17057"</definedName>
    <definedName name="IQ_NET_DEBT_EST_DOWN_MONTH" hidden="1">"c16509"</definedName>
    <definedName name="IQ_NET_DEBT_EST_DOWN_MONTH_REUT" hidden="1">"c17049"</definedName>
    <definedName name="IQ_NET_DEBT_EST_NUM_ANALYSTS_2MONTH" hidden="1">"c16511"</definedName>
    <definedName name="IQ_NET_DEBT_EST_NUM_ANALYSTS_2MONTH_REUT" hidden="1">"c17051"</definedName>
    <definedName name="IQ_NET_DEBT_EST_NUM_ANALYSTS_3MONTH" hidden="1">"c16515"</definedName>
    <definedName name="IQ_NET_DEBT_EST_NUM_ANALYSTS_3MONTH_REUT" hidden="1">"c17055"</definedName>
    <definedName name="IQ_NET_DEBT_EST_NUM_ANALYSTS_MONTH" hidden="1">"c16507"</definedName>
    <definedName name="IQ_NET_DEBT_EST_NUM_ANALYSTS_MONTH_REUT" hidden="1">"c17047"</definedName>
    <definedName name="IQ_NET_DEBT_EST_REUT" hidden="1">"c3976"</definedName>
    <definedName name="IQ_NET_DEBT_EST_TOTAL_REVISED_2MONTH" hidden="1">"c16514"</definedName>
    <definedName name="IQ_NET_DEBT_EST_TOTAL_REVISED_2MONTH_REUT" hidden="1">"c17054"</definedName>
    <definedName name="IQ_NET_DEBT_EST_TOTAL_REVISED_3MONTH" hidden="1">"c16518"</definedName>
    <definedName name="IQ_NET_DEBT_EST_TOTAL_REVISED_3MONTH_REUT" hidden="1">"c17058"</definedName>
    <definedName name="IQ_NET_DEBT_EST_TOTAL_REVISED_MONTH" hidden="1">"c16510"</definedName>
    <definedName name="IQ_NET_DEBT_EST_TOTAL_REVISED_MONTH_REUT" hidden="1">"c17050"</definedName>
    <definedName name="IQ_NET_DEBT_EST_UP_2MONTH" hidden="1">"c16512"</definedName>
    <definedName name="IQ_NET_DEBT_EST_UP_2MONTH_REUT" hidden="1">"c17052"</definedName>
    <definedName name="IQ_NET_DEBT_EST_UP_3MONTH" hidden="1">"c16516"</definedName>
    <definedName name="IQ_NET_DEBT_EST_UP_3MONTH_REUT" hidden="1">"c17056"</definedName>
    <definedName name="IQ_NET_DEBT_EST_UP_MONTH" hidden="1">"c16508"</definedName>
    <definedName name="IQ_NET_DEBT_EST_UP_MONTH_REUT" hidden="1">"c17048"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REUT" hidden="1">"c3978"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_COL" hidden="1">"c11712"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DOWN_2MONTH" hidden="1">"c16429"</definedName>
    <definedName name="IQ_NI_EST_DOWN_2MONTH_REUT" hidden="1">"c16993"</definedName>
    <definedName name="IQ_NI_EST_DOWN_3MONTH" hidden="1">"c16433"</definedName>
    <definedName name="IQ_NI_EST_DOWN_3MONTH_REUT" hidden="1">"c16997"</definedName>
    <definedName name="IQ_NI_EST_DOWN_MONTH" hidden="1">"c16425"</definedName>
    <definedName name="IQ_NI_EST_DOWN_MONTH_REUT" hidden="1">"c16989"</definedName>
    <definedName name="IQ_NI_EST_NUM_ANALYSTS_2MONTH" hidden="1">"c16427"</definedName>
    <definedName name="IQ_NI_EST_NUM_ANALYSTS_2MONTH_REUT" hidden="1">"c16991"</definedName>
    <definedName name="IQ_NI_EST_NUM_ANALYSTS_3MONTH" hidden="1">"c16431"</definedName>
    <definedName name="IQ_NI_EST_NUM_ANALYSTS_3MONTH_REUT" hidden="1">"c16995"</definedName>
    <definedName name="IQ_NI_EST_NUM_ANALYSTS_MONTH" hidden="1">"c16423"</definedName>
    <definedName name="IQ_NI_EST_NUM_ANALYSTS_MONTH_REUT" hidden="1">"c16987"</definedName>
    <definedName name="IQ_NI_EST_REUT" hidden="1">"c5368"</definedName>
    <definedName name="IQ_NI_EST_TOTAL_REVISED_2MONTH" hidden="1">"c16430"</definedName>
    <definedName name="IQ_NI_EST_TOTAL_REVISED_2MONTH_REUT" hidden="1">"c16994"</definedName>
    <definedName name="IQ_NI_EST_TOTAL_REVISED_3MONTH" hidden="1">"c16434"</definedName>
    <definedName name="IQ_NI_EST_TOTAL_REVISED_3MONTH_REUT" hidden="1">"c16998"</definedName>
    <definedName name="IQ_NI_EST_TOTAL_REVISED_MONTH" hidden="1">"c16426"</definedName>
    <definedName name="IQ_NI_EST_TOTAL_REVISED_MONTH_REUT" hidden="1">"c16990"</definedName>
    <definedName name="IQ_NI_EST_UP_2MONTH" hidden="1">"c16428"</definedName>
    <definedName name="IQ_NI_EST_UP_2MONTH_REUT" hidden="1">"c16992"</definedName>
    <definedName name="IQ_NI_EST_UP_3MONTH" hidden="1">"c16432"</definedName>
    <definedName name="IQ_NI_EST_UP_3MONTH_REUT" hidden="1">"c16996"</definedName>
    <definedName name="IQ_NI_EST_UP_MONTH" hidden="1">"c16424"</definedName>
    <definedName name="IQ_NI_EST_UP_MONTH_REUT" hidden="1">"c16988"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EST" hidden="1">"c1723"</definedName>
    <definedName name="IQ_NI_GW_EST_DOWN_2MONTH" hidden="1">"c16453"</definedName>
    <definedName name="IQ_NI_GW_EST_DOWN_2MONTH_REUT" hidden="1">"c17017"</definedName>
    <definedName name="IQ_NI_GW_EST_DOWN_3MONTH" hidden="1">"c16457"</definedName>
    <definedName name="IQ_NI_GW_EST_DOWN_3MONTH_REUT" hidden="1">"c17021"</definedName>
    <definedName name="IQ_NI_GW_EST_DOWN_MONTH" hidden="1">"c16449"</definedName>
    <definedName name="IQ_NI_GW_EST_DOWN_MONTH_REUT" hidden="1">"c17013"</definedName>
    <definedName name="IQ_NI_GW_EST_NUM_ANALYSTS_2MONTH" hidden="1">"c16451"</definedName>
    <definedName name="IQ_NI_GW_EST_NUM_ANALYSTS_2MONTH_REUT" hidden="1">"c17015"</definedName>
    <definedName name="IQ_NI_GW_EST_NUM_ANALYSTS_3MONTH" hidden="1">"c16455"</definedName>
    <definedName name="IQ_NI_GW_EST_NUM_ANALYSTS_3MONTH_REUT" hidden="1">"c17019"</definedName>
    <definedName name="IQ_NI_GW_EST_NUM_ANALYSTS_MONTH" hidden="1">"c16447"</definedName>
    <definedName name="IQ_NI_GW_EST_NUM_ANALYSTS_MONTH_REUT" hidden="1">"c17011"</definedName>
    <definedName name="IQ_NI_GW_EST_REUT" hidden="1">"c5375"</definedName>
    <definedName name="IQ_NI_GW_EST_TOTAL_REVISED_2MONTH" hidden="1">"c16454"</definedName>
    <definedName name="IQ_NI_GW_EST_TOTAL_REVISED_2MONTH_REUT" hidden="1">"c17018"</definedName>
    <definedName name="IQ_NI_GW_EST_TOTAL_REVISED_3MONTH" hidden="1">"c16458"</definedName>
    <definedName name="IQ_NI_GW_EST_TOTAL_REVISED_3MONTH_REUT" hidden="1">"c17022"</definedName>
    <definedName name="IQ_NI_GW_EST_TOTAL_REVISED_MONTH" hidden="1">"c16450"</definedName>
    <definedName name="IQ_NI_GW_EST_TOTAL_REVISED_MONTH_REUT" hidden="1">"c17014"</definedName>
    <definedName name="IQ_NI_GW_EST_UP_2MONTH" hidden="1">"c16452"</definedName>
    <definedName name="IQ_NI_GW_EST_UP_2MONTH_REUT" hidden="1">"c17016"</definedName>
    <definedName name="IQ_NI_GW_EST_UP_3MONTH" hidden="1">"c16456"</definedName>
    <definedName name="IQ_NI_GW_EST_UP_3MONTH_REUT" hidden="1">"c17020"</definedName>
    <definedName name="IQ_NI_GW_EST_UP_MONTH" hidden="1">"c16448"</definedName>
    <definedName name="IQ_NI_GW_EST_UP_MONTH_REUT" hidden="1">"c17012"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REUT" hidden="1">"c5377"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REUT" hidden="1">"c5378"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REUT" hidden="1">"c5371"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REUT" hidden="1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DOWN_2MONTH" hidden="1">"c16441"</definedName>
    <definedName name="IQ_NI_REPORTED_EST_DOWN_2MONTH_REUT" hidden="1">"c17005"</definedName>
    <definedName name="IQ_NI_REPORTED_EST_DOWN_3MONTH" hidden="1">"c16445"</definedName>
    <definedName name="IQ_NI_REPORTED_EST_DOWN_3MONTH_REUT" hidden="1">"c17009"</definedName>
    <definedName name="IQ_NI_REPORTED_EST_DOWN_MONTH" hidden="1">"c16437"</definedName>
    <definedName name="IQ_NI_REPORTED_EST_DOWN_MONTH_REUT" hidden="1">"c17001"</definedName>
    <definedName name="IQ_NI_REPORTED_EST_NUM_ANALYSTS_2MONTH" hidden="1">"c16439"</definedName>
    <definedName name="IQ_NI_REPORTED_EST_NUM_ANALYSTS_2MONTH_REUT" hidden="1">"c17003"</definedName>
    <definedName name="IQ_NI_REPORTED_EST_NUM_ANALYSTS_3MONTH" hidden="1">"c16443"</definedName>
    <definedName name="IQ_NI_REPORTED_EST_NUM_ANALYSTS_3MONTH_REUT" hidden="1">"c17007"</definedName>
    <definedName name="IQ_NI_REPORTED_EST_NUM_ANALYSTS_MONTH" hidden="1">"c16435"</definedName>
    <definedName name="IQ_NI_REPORTED_EST_NUM_ANALYSTS_MONTH_REUT" hidden="1">"c16999"</definedName>
    <definedName name="IQ_NI_REPORTED_EST_REUT" hidden="1">"c5382"</definedName>
    <definedName name="IQ_NI_REPORTED_EST_TOTAL_REVISED_2MONTH" hidden="1">"c16442"</definedName>
    <definedName name="IQ_NI_REPORTED_EST_TOTAL_REVISED_2MONTH_REUT" hidden="1">"c17006"</definedName>
    <definedName name="IQ_NI_REPORTED_EST_TOTAL_REVISED_3MONTH" hidden="1">"c16446"</definedName>
    <definedName name="IQ_NI_REPORTED_EST_TOTAL_REVISED_3MONTH_REUT" hidden="1">"c17010"</definedName>
    <definedName name="IQ_NI_REPORTED_EST_TOTAL_REVISED_MONTH" hidden="1">"c16438"</definedName>
    <definedName name="IQ_NI_REPORTED_EST_TOTAL_REVISED_MONTH_REUT" hidden="1">"c17002"</definedName>
    <definedName name="IQ_NI_REPORTED_EST_UP_2MONTH" hidden="1">"c16440"</definedName>
    <definedName name="IQ_NI_REPORTED_EST_UP_2MONTH_REUT" hidden="1">"c17004"</definedName>
    <definedName name="IQ_NI_REPORTED_EST_UP_3MONTH" hidden="1">"c16444"</definedName>
    <definedName name="IQ_NI_REPORTED_EST_UP_3MONTH_REUT" hidden="1">"c17008"</definedName>
    <definedName name="IQ_NI_REPORTED_EST_UP_MONTH" hidden="1">"c16436"</definedName>
    <definedName name="IQ_NI_REPORTED_EST_UP_MONTH_REUT" hidden="1">"c17000"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"c20388"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DOWN_2MONTH" hidden="1">"c16369"</definedName>
    <definedName name="IQ_OPER_INC_EST_DOWN_2MONTH_REUT" hidden="1">"c16945"</definedName>
    <definedName name="IQ_OPER_INC_EST_DOWN_3MONTH" hidden="1">"c16373"</definedName>
    <definedName name="IQ_OPER_INC_EST_DOWN_3MONTH_REUT" hidden="1">"c16949"</definedName>
    <definedName name="IQ_OPER_INC_EST_DOWN_MONTH" hidden="1">"c16365"</definedName>
    <definedName name="IQ_OPER_INC_EST_DOWN_MONTH_REUT" hidden="1">"c16941"</definedName>
    <definedName name="IQ_OPER_INC_EST_NUM_ANALYSTS_2MONTH" hidden="1">"c16367"</definedName>
    <definedName name="IQ_OPER_INC_EST_NUM_ANALYSTS_2MONTH_REUT" hidden="1">"c16943"</definedName>
    <definedName name="IQ_OPER_INC_EST_NUM_ANALYSTS_3MONTH" hidden="1">"c16371"</definedName>
    <definedName name="IQ_OPER_INC_EST_NUM_ANALYSTS_3MONTH_REUT" hidden="1">"c16947"</definedName>
    <definedName name="IQ_OPER_INC_EST_NUM_ANALYSTS_MONTH" hidden="1">"c16363"</definedName>
    <definedName name="IQ_OPER_INC_EST_NUM_ANALYSTS_MONTH_REUT" hidden="1">"c16939"</definedName>
    <definedName name="IQ_OPER_INC_EST_REUT" hidden="1">"c5340"</definedName>
    <definedName name="IQ_OPER_INC_EST_TOTAL_REVISED_2MONTH" hidden="1">"c16370"</definedName>
    <definedName name="IQ_OPER_INC_EST_TOTAL_REVISED_2MONTH_REUT" hidden="1">"c16946"</definedName>
    <definedName name="IQ_OPER_INC_EST_TOTAL_REVISED_3MONTH" hidden="1">"c16374"</definedName>
    <definedName name="IQ_OPER_INC_EST_TOTAL_REVISED_3MONTH_REUT" hidden="1">"c16950"</definedName>
    <definedName name="IQ_OPER_INC_EST_TOTAL_REVISED_MONTH" hidden="1">"c16366"</definedName>
    <definedName name="IQ_OPER_INC_EST_TOTAL_REVISED_MONTH_REUT" hidden="1">"c16942"</definedName>
    <definedName name="IQ_OPER_INC_EST_UP_2MONTH" hidden="1">"c16368"</definedName>
    <definedName name="IQ_OPER_INC_EST_UP_2MONTH_REUT" hidden="1">"c16944"</definedName>
    <definedName name="IQ_OPER_INC_EST_UP_3MONTH" hidden="1">"c16372"</definedName>
    <definedName name="IQ_OPER_INC_EST_UP_3MONTH_REUT" hidden="1">"c16948"</definedName>
    <definedName name="IQ_OPER_INC_EST_UP_MONTH" hidden="1">"c16364"</definedName>
    <definedName name="IQ_OPER_INC_EST_UP_MONTH_REUT" hidden="1">"c16940"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REUT" hidden="1">"c15238"</definedName>
    <definedName name="IQ_PC_EARNED" hidden="1">"c2749"</definedName>
    <definedName name="IQ_PC_GAAP_COMBINED_RATIO" hidden="1">"c20392"</definedName>
    <definedName name="IQ_PC_GAAP_COMBINED_RATIO_EXCL_CL" hidden="1">"c20393"</definedName>
    <definedName name="IQ_PC_GAAP_EXPENSE_RATIO" hidden="1">"c20391"</definedName>
    <definedName name="IQ_PC_GAAP_LOSS" hidden="1">"c20390"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SHARE_12MONTHS" hidden="1">"c1828"</definedName>
    <definedName name="IQ_PERCENT_CHANGE_EST_FFO_SHARE_12MONTHS_REUT" hidden="1">"c3938"</definedName>
    <definedName name="IQ_PERCENT_CHANGE_EST_FFO_SHARE_18MONTHS" hidden="1">"c1829"</definedName>
    <definedName name="IQ_PERCENT_CHANGE_EST_FFO_SHARE_18MONTHS_REUT" hidden="1">"c3939"</definedName>
    <definedName name="IQ_PERCENT_CHANGE_EST_FFO_SHARE_3MONTHS" hidden="1">"c1825"</definedName>
    <definedName name="IQ_PERCENT_CHANGE_EST_FFO_SHARE_3MONTHS_REUT" hidden="1">"c3935"</definedName>
    <definedName name="IQ_PERCENT_CHANGE_EST_FFO_SHARE_6MONTHS" hidden="1">"c1826"</definedName>
    <definedName name="IQ_PERCENT_CHANGE_EST_FFO_SHARE_6MONTHS_REUT" hidden="1">"c3936"</definedName>
    <definedName name="IQ_PERCENT_CHANGE_EST_FFO_SHARE_9MONTHS" hidden="1">"c1827"</definedName>
    <definedName name="IQ_PERCENT_CHANGE_EST_FFO_SHARE_9MONTHS_REUT" hidden="1">"c3937"</definedName>
    <definedName name="IQ_PERCENT_CHANGE_EST_FFO_SHARE_DAY" hidden="1">"c1822"</definedName>
    <definedName name="IQ_PERCENT_CHANGE_EST_FFO_SHARE_DAY_REUT" hidden="1">"c3933"</definedName>
    <definedName name="IQ_PERCENT_CHANGE_EST_FFO_SHARE_MONTH" hidden="1">"c1824"</definedName>
    <definedName name="IQ_PERCENT_CHANGE_EST_FFO_SHARE_MONTH_REUT" hidden="1">"c3934"</definedName>
    <definedName name="IQ_PERCENT_CHANGE_EST_FFO_SHARE_WEEK" hidden="1">"c1823"</definedName>
    <definedName name="IQ_PERCENT_CHANGE_EST_FFO_SHARE_WEEK_REUT" hidden="1">"c3964"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_COL" hidden="1">"c11711"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EST_DOWN_2MONTH" hidden="1">"c16417"</definedName>
    <definedName name="IQ_PRETAX_GW_INC_EST_DOWN_2MONTH_REUT" hidden="1">"c16981"</definedName>
    <definedName name="IQ_PRETAX_GW_INC_EST_DOWN_3MONTH" hidden="1">"c16421"</definedName>
    <definedName name="IQ_PRETAX_GW_INC_EST_DOWN_3MONTH_REUT" hidden="1">"c16985"</definedName>
    <definedName name="IQ_PRETAX_GW_INC_EST_DOWN_MONTH" hidden="1">"c16413"</definedName>
    <definedName name="IQ_PRETAX_GW_INC_EST_DOWN_MONTH_REUT" hidden="1">"c16977"</definedName>
    <definedName name="IQ_PRETAX_GW_INC_EST_NUM_ANALYSTS_2MONTH" hidden="1">"c16415"</definedName>
    <definedName name="IQ_PRETAX_GW_INC_EST_NUM_ANALYSTS_2MONTH_REUT" hidden="1">"c16979"</definedName>
    <definedName name="IQ_PRETAX_GW_INC_EST_NUM_ANALYSTS_3MONTH" hidden="1">"c16419"</definedName>
    <definedName name="IQ_PRETAX_GW_INC_EST_NUM_ANALYSTS_3MONTH_REUT" hidden="1">"c16983"</definedName>
    <definedName name="IQ_PRETAX_GW_INC_EST_NUM_ANALYSTS_MONTH" hidden="1">"c16411"</definedName>
    <definedName name="IQ_PRETAX_GW_INC_EST_NUM_ANALYSTS_MONTH_REUT" hidden="1">"c16975"</definedName>
    <definedName name="IQ_PRETAX_GW_INC_EST_REUT" hidden="1">"c5354"</definedName>
    <definedName name="IQ_PRETAX_GW_INC_EST_TOTAL_REVISED_2MONTH" hidden="1">"c16418"</definedName>
    <definedName name="IQ_PRETAX_GW_INC_EST_TOTAL_REVISED_2MONTH_REUT" hidden="1">"c16982"</definedName>
    <definedName name="IQ_PRETAX_GW_INC_EST_TOTAL_REVISED_3MONTH" hidden="1">"c16422"</definedName>
    <definedName name="IQ_PRETAX_GW_INC_EST_TOTAL_REVISED_3MONTH_REUT" hidden="1">"c16986"</definedName>
    <definedName name="IQ_PRETAX_GW_INC_EST_TOTAL_REVISED_MONTH" hidden="1">"c16414"</definedName>
    <definedName name="IQ_PRETAX_GW_INC_EST_TOTAL_REVISED_MONTH_REUT" hidden="1">"c16978"</definedName>
    <definedName name="IQ_PRETAX_GW_INC_EST_UP_2MONTH" hidden="1">"c16416"</definedName>
    <definedName name="IQ_PRETAX_GW_INC_EST_UP_2MONTH_REUT" hidden="1">"c16980"</definedName>
    <definedName name="IQ_PRETAX_GW_INC_EST_UP_3MONTH" hidden="1">"c16420"</definedName>
    <definedName name="IQ_PRETAX_GW_INC_EST_UP_3MONTH_REUT" hidden="1">"c16984"</definedName>
    <definedName name="IQ_PRETAX_GW_INC_EST_UP_MONTH" hidden="1">"c16412"</definedName>
    <definedName name="IQ_PRETAX_GW_INC_EST_UP_MONTH_REUT" hidden="1">"c16976"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EST_DOWN_2MONTH" hidden="1">"c16393"</definedName>
    <definedName name="IQ_PRETAX_INC_EST_DOWN_2MONTH_REUT" hidden="1">"c16957"</definedName>
    <definedName name="IQ_PRETAX_INC_EST_DOWN_3MONTH" hidden="1">"c16397"</definedName>
    <definedName name="IQ_PRETAX_INC_EST_DOWN_3MONTH_REUT" hidden="1">"c16961"</definedName>
    <definedName name="IQ_PRETAX_INC_EST_DOWN_MONTH" hidden="1">"c16389"</definedName>
    <definedName name="IQ_PRETAX_INC_EST_DOWN_MONTH_REUT" hidden="1">"c16953"</definedName>
    <definedName name="IQ_PRETAX_INC_EST_NUM_ANALYSTS_2MONTH" hidden="1">"c16391"</definedName>
    <definedName name="IQ_PRETAX_INC_EST_NUM_ANALYSTS_2MONTH_REUT" hidden="1">"c16955"</definedName>
    <definedName name="IQ_PRETAX_INC_EST_NUM_ANALYSTS_3MONTH" hidden="1">"c16395"</definedName>
    <definedName name="IQ_PRETAX_INC_EST_NUM_ANALYSTS_3MONTH_REUT" hidden="1">"c16959"</definedName>
    <definedName name="IQ_PRETAX_INC_EST_NUM_ANALYSTS_MONTH" hidden="1">"c16387"</definedName>
    <definedName name="IQ_PRETAX_INC_EST_NUM_ANALYSTS_MONTH_REUT" hidden="1">"c16951"</definedName>
    <definedName name="IQ_PRETAX_INC_EST_REUT" hidden="1">"c5347"</definedName>
    <definedName name="IQ_PRETAX_INC_EST_TOTAL_REVISED_2MONTH" hidden="1">"c16394"</definedName>
    <definedName name="IQ_PRETAX_INC_EST_TOTAL_REVISED_2MONTH_REUT" hidden="1">"c16958"</definedName>
    <definedName name="IQ_PRETAX_INC_EST_TOTAL_REVISED_3MONTH" hidden="1">"c16398"</definedName>
    <definedName name="IQ_PRETAX_INC_EST_TOTAL_REVISED_3MONTH_REUT" hidden="1">"c16962"</definedName>
    <definedName name="IQ_PRETAX_INC_EST_TOTAL_REVISED_MONTH" hidden="1">"c16390"</definedName>
    <definedName name="IQ_PRETAX_INC_EST_TOTAL_REVISED_MONTH_REUT" hidden="1">"c16954"</definedName>
    <definedName name="IQ_PRETAX_INC_EST_UP_2MONTH" hidden="1">"c16392"</definedName>
    <definedName name="IQ_PRETAX_INC_EST_UP_2MONTH_REUT" hidden="1">"c16956"</definedName>
    <definedName name="IQ_PRETAX_INC_EST_UP_3MONTH" hidden="1">"c16396"</definedName>
    <definedName name="IQ_PRETAX_INC_EST_UP_3MONTH_REUT" hidden="1">"c16960"</definedName>
    <definedName name="IQ_PRETAX_INC_EST_UP_MONTH" hidden="1">"c16388"</definedName>
    <definedName name="IQ_PRETAX_INC_EST_UP_MONTH_REUT" hidden="1">"c16952"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OPERATING_INC_AVG_ASSETS_FFIEC" hidden="1">"c13365"</definedName>
    <definedName name="IQ_PRETAX_REPORT_INC_EST" hidden="1">"c1709"</definedName>
    <definedName name="IQ_PRETAX_REPORT_INC_EST_DOWN_2MONTH" hidden="1">"c16405"</definedName>
    <definedName name="IQ_PRETAX_REPORT_INC_EST_DOWN_2MONTH_REUT" hidden="1">"c16969"</definedName>
    <definedName name="IQ_PRETAX_REPORT_INC_EST_DOWN_3MONTH" hidden="1">"c16409"</definedName>
    <definedName name="IQ_PRETAX_REPORT_INC_EST_DOWN_3MONTH_REUT" hidden="1">"c16973"</definedName>
    <definedName name="IQ_PRETAX_REPORT_INC_EST_DOWN_MONTH" hidden="1">"c16401"</definedName>
    <definedName name="IQ_PRETAX_REPORT_INC_EST_DOWN_MONTH_REUT" hidden="1">"c16965"</definedName>
    <definedName name="IQ_PRETAX_REPORT_INC_EST_NUM_ANALYSTS_2MONTH" hidden="1">"c16403"</definedName>
    <definedName name="IQ_PRETAX_REPORT_INC_EST_NUM_ANALYSTS_2MONTH_REUT" hidden="1">"c16967"</definedName>
    <definedName name="IQ_PRETAX_REPORT_INC_EST_NUM_ANALYSTS_3MONTH" hidden="1">"c16407"</definedName>
    <definedName name="IQ_PRETAX_REPORT_INC_EST_NUM_ANALYSTS_3MONTH_REUT" hidden="1">"c16971"</definedName>
    <definedName name="IQ_PRETAX_REPORT_INC_EST_NUM_ANALYSTS_MONTH" hidden="1">"c16399"</definedName>
    <definedName name="IQ_PRETAX_REPORT_INC_EST_NUM_ANALYSTS_MONTH_REUT" hidden="1">"c16963"</definedName>
    <definedName name="IQ_PRETAX_REPORT_INC_EST_REUT" hidden="1">"c5361"</definedName>
    <definedName name="IQ_PRETAX_REPORT_INC_EST_TOTAL_REVISED_2MONTH" hidden="1">"c16406"</definedName>
    <definedName name="IQ_PRETAX_REPORT_INC_EST_TOTAL_REVISED_2MONTH_REUT" hidden="1">"c16970"</definedName>
    <definedName name="IQ_PRETAX_REPORT_INC_EST_TOTAL_REVISED_3MONTH" hidden="1">"c16410"</definedName>
    <definedName name="IQ_PRETAX_REPORT_INC_EST_TOTAL_REVISED_3MONTH_REUT" hidden="1">"c16974"</definedName>
    <definedName name="IQ_PRETAX_REPORT_INC_EST_TOTAL_REVISED_MONTH" hidden="1">"c16402"</definedName>
    <definedName name="IQ_PRETAX_REPORT_INC_EST_TOTAL_REVISED_MONTH_REUT" hidden="1">"c16966"</definedName>
    <definedName name="IQ_PRETAX_REPORT_INC_EST_UP_2MONTH" hidden="1">"c16404"</definedName>
    <definedName name="IQ_PRETAX_REPORT_INC_EST_UP_2MONTH_REUT" hidden="1">"c16968"</definedName>
    <definedName name="IQ_PRETAX_REPORT_INC_EST_UP_3MONTH" hidden="1">"c16408"</definedName>
    <definedName name="IQ_PRETAX_REPORT_INC_EST_UP_3MONTH_REUT" hidden="1">"c16972"</definedName>
    <definedName name="IQ_PRETAX_REPORT_INC_EST_UP_MONTH" hidden="1">"c16400"</definedName>
    <definedName name="IQ_PRETAX_REPORT_INC_EST_UP_MONTH_REUT" hidden="1">"c16964"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_COL" hidden="1">"c11677"</definedName>
    <definedName name="IQ_PRICE_VOLATILITY_HIGH" hidden="1">"c4493"</definedName>
    <definedName name="IQ_PRICE_VOLATILITY_HIGH_CIQ_COL" hidden="1">"c11678"</definedName>
    <definedName name="IQ_PRICE_VOLATILITY_LOW" hidden="1">"c4494"</definedName>
    <definedName name="IQ_PRICE_VOLATILITY_LOW_CIQ_COL" hidden="1">"c11679"</definedName>
    <definedName name="IQ_PRICE_VOLATILITY_MEDIAN" hidden="1">"c4495"</definedName>
    <definedName name="IQ_PRICE_VOLATILITY_MEDIAN_CIQ_COL" hidden="1">"c11680"</definedName>
    <definedName name="IQ_PRICE_VOLATILITY_NUM" hidden="1">"c4496"</definedName>
    <definedName name="IQ_PRICE_VOLATILITY_NUM_CIQ_COL" hidden="1">"c11681"</definedName>
    <definedName name="IQ_PRICE_VOLATILITY_STDDEV" hidden="1">"c4497"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DOWN_2MONTH" hidden="1">"c16537"</definedName>
    <definedName name="IQ_RETURN_ASSETS_EST_DOWN_2MONTH_REUT" hidden="1">"c17077"</definedName>
    <definedName name="IQ_RETURN_ASSETS_EST_DOWN_3MONTH" hidden="1">"c16541"</definedName>
    <definedName name="IQ_RETURN_ASSETS_EST_DOWN_3MONTH_REUT" hidden="1">"c17081"</definedName>
    <definedName name="IQ_RETURN_ASSETS_EST_DOWN_MONTH" hidden="1">"c16533"</definedName>
    <definedName name="IQ_RETURN_ASSETS_EST_DOWN_MONTH_REUT" hidden="1">"c17073"</definedName>
    <definedName name="IQ_RETURN_ASSETS_EST_NUM_ANALYSTS_2MONTH" hidden="1">"c16535"</definedName>
    <definedName name="IQ_RETURN_ASSETS_EST_NUM_ANALYSTS_2MONTH_REUT" hidden="1">"c17075"</definedName>
    <definedName name="IQ_RETURN_ASSETS_EST_NUM_ANALYSTS_3MONTH" hidden="1">"c16539"</definedName>
    <definedName name="IQ_RETURN_ASSETS_EST_NUM_ANALYSTS_3MONTH_REUT" hidden="1">"c17079"</definedName>
    <definedName name="IQ_RETURN_ASSETS_EST_NUM_ANALYSTS_MONTH" hidden="1">"c16531"</definedName>
    <definedName name="IQ_RETURN_ASSETS_EST_NUM_ANALYSTS_MONTH_REUT" hidden="1">"c17071"</definedName>
    <definedName name="IQ_RETURN_ASSETS_EST_REUT" hidden="1">"c3990"</definedName>
    <definedName name="IQ_RETURN_ASSETS_EST_TOTAL_REVISED_2MONTH" hidden="1">"c16538"</definedName>
    <definedName name="IQ_RETURN_ASSETS_EST_TOTAL_REVISED_2MONTH_REUT" hidden="1">"c17078"</definedName>
    <definedName name="IQ_RETURN_ASSETS_EST_TOTAL_REVISED_3MONTH" hidden="1">"c16542"</definedName>
    <definedName name="IQ_RETURN_ASSETS_EST_TOTAL_REVISED_3MONTH_REUT" hidden="1">"c17082"</definedName>
    <definedName name="IQ_RETURN_ASSETS_EST_TOTAL_REVISED_MONTH" hidden="1">"c16534"</definedName>
    <definedName name="IQ_RETURN_ASSETS_EST_TOTAL_REVISED_MONTH_REUT" hidden="1">"c17074"</definedName>
    <definedName name="IQ_RETURN_ASSETS_EST_UP_2MONTH" hidden="1">"c16536"</definedName>
    <definedName name="IQ_RETURN_ASSETS_EST_UP_2MONTH_REUT" hidden="1">"c17076"</definedName>
    <definedName name="IQ_RETURN_ASSETS_EST_UP_3MONTH" hidden="1">"c16540"</definedName>
    <definedName name="IQ_RETURN_ASSETS_EST_UP_3MONTH_REUT" hidden="1">"c17080"</definedName>
    <definedName name="IQ_RETURN_ASSETS_EST_UP_MONTH" hidden="1">"c16532"</definedName>
    <definedName name="IQ_RETURN_ASSETS_EST_UP_MONTH_REUT" hidden="1">"c17072"</definedName>
    <definedName name="IQ_RETURN_ASSETS_FDIC" hidden="1">"c6730"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REUT" hidden="1">"c3992"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REUT" hidden="1">"c3993"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DOWN_2MONTH" hidden="1">"c16549"</definedName>
    <definedName name="IQ_RETURN_EQUITY_EST_DOWN_2MONTH_REUT" hidden="1">"c17089"</definedName>
    <definedName name="IQ_RETURN_EQUITY_EST_DOWN_3MONTH" hidden="1">"c16553"</definedName>
    <definedName name="IQ_RETURN_EQUITY_EST_DOWN_3MONTH_REUT" hidden="1">"c17093"</definedName>
    <definedName name="IQ_RETURN_EQUITY_EST_DOWN_MONTH" hidden="1">"c16545"</definedName>
    <definedName name="IQ_RETURN_EQUITY_EST_DOWN_MONTH_REUT" hidden="1">"c17085"</definedName>
    <definedName name="IQ_RETURN_EQUITY_EST_NUM_ANALYSTS_2MONTH" hidden="1">"c16547"</definedName>
    <definedName name="IQ_RETURN_EQUITY_EST_NUM_ANALYSTS_2MONTH_REUT" hidden="1">"c17087"</definedName>
    <definedName name="IQ_RETURN_EQUITY_EST_NUM_ANALYSTS_3MONTH" hidden="1">"c16551"</definedName>
    <definedName name="IQ_RETURN_EQUITY_EST_NUM_ANALYSTS_3MONTH_REUT" hidden="1">"c17091"</definedName>
    <definedName name="IQ_RETURN_EQUITY_EST_NUM_ANALYSTS_MONTH" hidden="1">"c16543"</definedName>
    <definedName name="IQ_RETURN_EQUITY_EST_NUM_ANALYSTS_MONTH_REUT" hidden="1">"c17083"</definedName>
    <definedName name="IQ_RETURN_EQUITY_EST_REUT" hidden="1">"c3983"</definedName>
    <definedName name="IQ_RETURN_EQUITY_EST_TOTAL_REVISED_2MONTH" hidden="1">"c16550"</definedName>
    <definedName name="IQ_RETURN_EQUITY_EST_TOTAL_REVISED_2MONTH_REUT" hidden="1">"c17090"</definedName>
    <definedName name="IQ_RETURN_EQUITY_EST_TOTAL_REVISED_3MONTH" hidden="1">"c16554"</definedName>
    <definedName name="IQ_RETURN_EQUITY_EST_TOTAL_REVISED_3MONTH_REUT" hidden="1">"c17094"</definedName>
    <definedName name="IQ_RETURN_EQUITY_EST_TOTAL_REVISED_MONTH" hidden="1">"c16546"</definedName>
    <definedName name="IQ_RETURN_EQUITY_EST_TOTAL_REVISED_MONTH_REUT" hidden="1">"c17086"</definedName>
    <definedName name="IQ_RETURN_EQUITY_EST_UP_2MONTH" hidden="1">"c16548"</definedName>
    <definedName name="IQ_RETURN_EQUITY_EST_UP_2MONTH_REUT" hidden="1">"c17088"</definedName>
    <definedName name="IQ_RETURN_EQUITY_EST_UP_3MONTH" hidden="1">"c16552"</definedName>
    <definedName name="IQ_RETURN_EQUITY_EST_UP_3MONTH_REUT" hidden="1">"c17092"</definedName>
    <definedName name="IQ_RETURN_EQUITY_EST_UP_MONTH" hidden="1">"c16544"</definedName>
    <definedName name="IQ_RETURN_EQUITY_EST_UP_MONTH_REUT" hidden="1">"c17084"</definedName>
    <definedName name="IQ_RETURN_EQUITY_FDIC" hidden="1">"c6732"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REUT" hidden="1">"c3985"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REUT" hidden="1">"c3986"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"c190"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REUT" hidden="1">"c16873"</definedName>
    <definedName name="IQ_REVENUE_EST_DOWN_3MONTH" hidden="1">"c16289"</definedName>
    <definedName name="IQ_REVENUE_EST_DOWN_3MONTH_CIQ" hidden="1">"c16613"</definedName>
    <definedName name="IQ_REVENUE_EST_DOWN_3MONTH_REUT" hidden="1">"c16877"</definedName>
    <definedName name="IQ_REVENUE_EST_DOWN_MONTH" hidden="1">"c16281"</definedName>
    <definedName name="IQ_REVENUE_EST_DOWN_MONTH_CIQ" hidden="1">"c16605"</definedName>
    <definedName name="IQ_REVENUE_EST_DOWN_MONTH_REUT" hidden="1">"c16869"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REUT" hidden="1">"c16871"</definedName>
    <definedName name="IQ_REVENUE_EST_NUM_ANALYSTS_3MONTH" hidden="1">"c16287"</definedName>
    <definedName name="IQ_REVENUE_EST_NUM_ANALYSTS_3MONTH_CIQ" hidden="1">"c16611"</definedName>
    <definedName name="IQ_REVENUE_EST_NUM_ANALYSTS_3MONTH_REUT" hidden="1">"c16875"</definedName>
    <definedName name="IQ_REVENUE_EST_NUM_ANALYSTS_MONTH" hidden="1">"c16279"</definedName>
    <definedName name="IQ_REVENUE_EST_NUM_ANALYSTS_MONTH_CIQ" hidden="1">"c16603"</definedName>
    <definedName name="IQ_REVENUE_EST_NUM_ANALYSTS_MONTH_REUT" hidden="1">"c16867"</definedName>
    <definedName name="IQ_REVENUE_EST_REUT" hidden="1">"c3634"</definedName>
    <definedName name="IQ_REVENUE_EST_TOTAL_REVISED_2MONTH" hidden="1">"c16286"</definedName>
    <definedName name="IQ_REVENUE_EST_TOTAL_REVISED_2MONTH_CIQ" hidden="1">"c16610"</definedName>
    <definedName name="IQ_REVENUE_EST_TOTAL_REVISED_2MONTH_REUT" hidden="1">"c16874"</definedName>
    <definedName name="IQ_REVENUE_EST_TOTAL_REVISED_3MONTH" hidden="1">"c16290"</definedName>
    <definedName name="IQ_REVENUE_EST_TOTAL_REVISED_3MONTH_CIQ" hidden="1">"c16614"</definedName>
    <definedName name="IQ_REVENUE_EST_TOTAL_REVISED_3MONTH_REUT" hidden="1">"c16878"</definedName>
    <definedName name="IQ_REVENUE_EST_TOTAL_REVISED_MONTH" hidden="1">"c16282"</definedName>
    <definedName name="IQ_REVENUE_EST_TOTAL_REVISED_MONTH_CIQ" hidden="1">"c16606"</definedName>
    <definedName name="IQ_REVENUE_EST_TOTAL_REVISED_MONTH_REUT" hidden="1">"c16870"</definedName>
    <definedName name="IQ_REVENUE_EST_UP_2MONTH" hidden="1">"c16284"</definedName>
    <definedName name="IQ_REVENUE_EST_UP_2MONTH_CIQ" hidden="1">"c16608"</definedName>
    <definedName name="IQ_REVENUE_EST_UP_2MONTH_REUT" hidden="1">"c16872"</definedName>
    <definedName name="IQ_REVENUE_EST_UP_3MONTH" hidden="1">"c16288"</definedName>
    <definedName name="IQ_REVENUE_EST_UP_3MONTH_CIQ" hidden="1">"c16612"</definedName>
    <definedName name="IQ_REVENUE_EST_UP_3MONTH_REUT" hidden="1">"c16876"</definedName>
    <definedName name="IQ_REVENUE_EST_UP_MONTH" hidden="1">"c16280"</definedName>
    <definedName name="IQ_REVENUE_EST_UP_MONTH_CIQ" hidden="1">"c16604"</definedName>
    <definedName name="IQ_REVENUE_EST_UP_MONTH_REUT" hidden="1">"c16868"</definedName>
    <definedName name="IQ_REVENUE_GROWTH_1" hidden="1">"c155"</definedName>
    <definedName name="IQ_REVENUE_GROWTH_2" hidden="1">"c159"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38779.7509837963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"c1204"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EST_DOWN_2MONTH" hidden="1">"c16489"</definedName>
    <definedName name="IQ_TEV_EST_DOWN_3MONTH" hidden="1">"c16493"</definedName>
    <definedName name="IQ_TEV_EST_DOWN_MONTH" hidden="1">"c16485"</definedName>
    <definedName name="IQ_TEV_EST_NUM_ANALYSTS_2MONTH" hidden="1">"c16487"</definedName>
    <definedName name="IQ_TEV_EST_NUM_ANALYSTS_3MONTH" hidden="1">"c16491"</definedName>
    <definedName name="IQ_TEV_EST_NUM_ANALYSTS_MONTH" hidden="1">"c16483"</definedName>
    <definedName name="IQ_TEV_EST_TOTAL_REVISED_2MONTH" hidden="1">"c16490"</definedName>
    <definedName name="IQ_TEV_EST_TOTAL_REVISED_3MONTH" hidden="1">"c16494"</definedName>
    <definedName name="IQ_TEV_EST_TOTAL_REVISED_MONTH" hidden="1">"c16486"</definedName>
    <definedName name="IQ_TEV_EST_UP_2MONTH" hidden="1">"c16488"</definedName>
    <definedName name="IQ_TEV_EST_UP_3MONTH" hidden="1">"c16492"</definedName>
    <definedName name="IQ_TEV_EST_UP_MONTH" hidden="1">"c16484"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>6</definedName>
    <definedName name="IQB_BOOKMARK_LOCATION_0">#REF!</definedName>
    <definedName name="IQB_BOOKMARK_LOCATION_1">#REF!</definedName>
    <definedName name="IQB_BOOKMARK_LOCATION_2">#REF!</definedName>
    <definedName name="IQB_BOOKMARK_LOCATION_3">#REF!</definedName>
    <definedName name="IQB_BOOKMARK_LOCATION_5" hidden="1">[23]Cases!#REF!</definedName>
    <definedName name="IQB_CURRENT_BOOKMARK">1</definedName>
    <definedName name="IQRC6" hidden="1">"$C$7:$C$259"</definedName>
    <definedName name="IQRD6" hidden="1">"$D$7:$D$259"</definedName>
    <definedName name="IQRE6" hidden="1">"$E$7:$E$259"</definedName>
    <definedName name="iQShowHideColumns" hidden="1">"iQShowAll"</definedName>
    <definedName name="IsColHidden" hidden="1">FALSE</definedName>
    <definedName name="IsLTMColHidden" hidden="1">FALSE</definedName>
    <definedName name="IstJahr">#REF!</definedName>
    <definedName name="IstMonat">#REF!</definedName>
    <definedName name="j" hidden="1">{TRUE,TRUE,-1.25,-15.5,604.5,342,FALSE,TRUE,TRUE,FALSE,0,13,#N/A,1,#N/A,9.40625,16.0740740740741,1,FALSE,FALSE,3,TRUE,1,FALSE,100,"Swvu.Shares.","ACwvu.Shares.",#N/A,FALSE,FALSE,0.748031496062992,0.748031496062992,0.62992125984252,0.47244094488189,2,"","",FALSE,FALSE,FALSE,FALSE,1,#N/A,1,1,"=R6C1:R55C16",FALSE,#N/A,#N/A,FALSE,FALSE,FALSE,9,65532,65532,FALSE,FALSE,TRUE,TRUE,TRUE}</definedName>
    <definedName name="jhuy" hidden="1">{"Cons Dos Digitos",#N/A,FALSE,"Cons.";"Cons Tres Digitos",#N/A,FALSE,"Cons."}</definedName>
    <definedName name="Jim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jk" hidden="1">{#N/A,#N/A,FALSE,"FY97";#N/A,#N/A,FALSE,"FY98";#N/A,#N/A,FALSE,"FY99";#N/A,#N/A,FALSE,"FY00";#N/A,#N/A,FALSE,"FY01"}</definedName>
    <definedName name="k" hidden="1">{"top 1",#N/A,FALSE,"Operations";"top 2",#N/A,FALSE,"Operations";"Bottom 1",#N/A,FALSE,"Operations";"Bottom 2",#N/A,FALSE,"Operations";"Admin 1",#N/A,FALSE,"Operations";"Admin 2",#N/A,FALSE,"Operations"}</definedName>
    <definedName name="K2_WBEVMODE" hidden="1">-1</definedName>
    <definedName name="ka" hidden="1">{"TOTAL",#N/A,FALSE,"A";"FISCAL94",#N/A,FALSE,"A";"FISCAL95",#N/A,FALSE,"A";"FISCAL96",#N/A,FALSE,"A";"misc page",#N/A,FALSE,"A"}</definedName>
    <definedName name="kl" hidden="1">{#N/A,#N/A,FALSE,"FY97";#N/A,#N/A,FALSE,"FY98";#N/A,#N/A,FALSE,"FY99";#N/A,#N/A,FALSE,"FY00";#N/A,#N/A,FALSE,"FY01"}</definedName>
    <definedName name="Ko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Kommentar3">#REF!</definedName>
    <definedName name="Kontengruppe">#REF!</definedName>
    <definedName name="Konto">#REF!</definedName>
    <definedName name="Laenge">#REF!</definedName>
    <definedName name="LBALSHEET">#REF!</definedName>
    <definedName name="limcount" hidden="1">1</definedName>
    <definedName name="lklkl" hidden="1">{"consolidated",#N/A,FALSE,"Sheet1";"cms",#N/A,FALSE,"Sheet1";"fse",#N/A,FALSE,"Sheet1"}</definedName>
    <definedName name="LOCAL">#REF!</definedName>
    <definedName name="local_extension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LTITLE">#REF!</definedName>
    <definedName name="LTM_EBITDA">#REF!</definedName>
    <definedName name="ltm_recrev">#REF!</definedName>
    <definedName name="M_PlaceofPath" hidden="1">"F:\KBRAU\eric\ericy_vdf.xls"</definedName>
    <definedName name="mandayequiv">750</definedName>
    <definedName name="marital.status">[15]Defaults!$K$3:$K$8</definedName>
    <definedName name="MENU">#REF!</definedName>
    <definedName name="Mes">#REF!</definedName>
    <definedName name="mj" hidden="1">{#N/A,#N/A,FALSE,"FY97";#N/A,#N/A,FALSE,"FY98";#N/A,#N/A,FALSE,"FY99";#N/A,#N/A,FALSE,"FY00";#N/A,#N/A,FALSE,"FY01"}</definedName>
    <definedName name="mk" hidden="1">{#N/A,#N/A,FALSE,"inc state";#N/A,#N/A,FALSE,"Products";#N/A,#N/A,FALSE,"bal sht"}</definedName>
    <definedName name="mmmmm" hidden="1">{#N/A,#N/A,FALSE,"Calc";#N/A,#N/A,FALSE,"Sensitivity";#N/A,#N/A,FALSE,"LT Earn.Dil.";#N/A,#N/A,FALSE,"Dil. AVP"}</definedName>
    <definedName name="monat">#REF!</definedName>
    <definedName name="MU_Bitnand">[6]Vendor_Supply!$A$44:$IV$44</definedName>
    <definedName name="MU_Revnand">[6]Vendor_Revenues!$A$53:$IV$53</definedName>
    <definedName name="NAND_Bit">[6]Vendor_Supply!$A$6:$IV$6</definedName>
    <definedName name="NAND_Rev">[6]Vendor_Revenues!$A$15:$IV$15</definedName>
    <definedName name="NHS">#REF!</definedName>
    <definedName name="noidea" hidden="1">{#N/A,#N/A,FALSE,"Calc";#N/A,#N/A,FALSE,"Sensitivity";#N/A,#N/A,FALSE,"LT Earn.Dil.";#N/A,#N/A,FALSE,"Dil. AVP"}</definedName>
    <definedName name="NumberArea">#REF!</definedName>
    <definedName name="NumQtrs">#REF!</definedName>
    <definedName name="OCL">#REF!</definedName>
    <definedName name="ojgohjofd" hidden="1">{TRUE,TRUE,-1.25,-15.5,604.5,342,FALSE,TRUE,TRUE,FALSE,0,1,#N/A,1,#N/A,5.37864077669903,16.1481481481481,1,FALSE,FALSE,3,TRUE,1,FALSE,100,"Swvu.Gmbh.","ACwvu.Gmbh.",#N/A,FALSE,FALSE,0.748031496062992,0.748031496062992,0.62992125984252,0.47244094488189,2,"","",FALSE,FALSE,FALSE,FALSE,1,#N/A,1,1,"=R6C2:R55C16",FALSE,#N/A,#N/A,FALSE,FALSE,FALSE,9,65532,65532,FALSE,FALSE,TRUE,TRUE,TRUE}</definedName>
    <definedName name="OK" hidden="1">{#N/A,#N/A,FALSE,"Cover";#N/A,#N/A,FALSE,"LUMI";#N/A,#N/A,FALSE,"COMD";#N/A,#N/A,FALSE,"Valuation";#N/A,#N/A,FALSE,"Assumptions";#N/A,#N/A,FALSE,"Pooling";#N/A,#N/A,FALSE,"BalanceSheet"}</definedName>
    <definedName name="ooooo" hidden="1">{#N/A,#N/A,FALSE,"Calc";#N/A,#N/A,FALSE,"Sensitivity";#N/A,#N/A,FALSE,"LT Earn.Dil.";#N/A,#N/A,FALSE,"Dil. AVP"}</definedName>
    <definedName name="p" hidden="1">{"top 1",#N/A,FALSE,"Operations";"top 2",#N/A,FALSE,"Operations";"Bottom 1",#N/A,FALSE,"Operations";"Bottom 2",#N/A,FALSE,"Operations";"Admin 1",#N/A,FALSE,"Operations";"Admin 2",#N/A,FALSE,"Operations"}</definedName>
    <definedName name="PAGE1">'[24]Total Dev:DSD'!$A$1:$F$73</definedName>
    <definedName name="PALOMA">#REF!</definedName>
    <definedName name="pay.type">[15]Defaults!$Q$3:$Q$4</definedName>
    <definedName name="Per">#REF!</definedName>
    <definedName name="Periode">[25]Basis!$C$6</definedName>
    <definedName name="PLEX">[22]Assumptions!$X$15</definedName>
    <definedName name="PLN">'[18]Entity Totals'!#REF!</definedName>
    <definedName name="PnL">#REF!</definedName>
    <definedName name="pp" hidden="1">{#N/A,#N/A,FALSE,"Calc";#N/A,#N/A,FALSE,"Sensitivity";#N/A,#N/A,FALSE,"LT Earn.Dil.";#N/A,#N/A,FALSE,"Dil. AVP"}</definedName>
    <definedName name="pp_TaskStatus">[26]Tab!$O$2:$O$8</definedName>
    <definedName name="ppp" hidden="1">{#N/A,#N/A,FALSE,"summ";#N/A,#N/A,FALSE,"q1";#N/A,#N/A,FALSE,"summ_alt";#N/A,#N/A,FALSE,"stock_nozero";#N/A,#N/A,FALSE,"1995"}</definedName>
    <definedName name="PPUpdate">0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int">[27]!cover,[27]!meeting,[27]!consideration,[27]!gold_print,[27]!elvis_comp,[27]!elvis_acq,[27]!elvis_dcf,[27]!elvis_ref</definedName>
    <definedName name="_xlnm.Print_Area" localSheetId="8">'Annual P&amp;L'!$A$1:$I$126</definedName>
    <definedName name="_xlnm.Print_Area" localSheetId="0">'Cover Page'!$B$4:$L$32</definedName>
    <definedName name="_xlnm.Print_Area" localSheetId="2">'Existing Loans + Loan Pipeline'!$B$1:$G$73,'Existing Loans + Loan Pipeline'!$B$75:$G$91</definedName>
    <definedName name="_xlnm.Print_Area" localSheetId="4">Headcount!$A$1:$S$89</definedName>
    <definedName name="_xlnm.Print_Area" localSheetId="3">'Historical CAC to LTV Analysis'!$A$1:$T$37</definedName>
    <definedName name="_xlnm.Print_Area" localSheetId="6">'Monthly P&amp;L'!$A$1:$AO$83</definedName>
    <definedName name="_xlnm.Print_Area" localSheetId="7">'Quarterly P&amp;L'!$A$1:$R$72</definedName>
    <definedName name="_xlnm.Print_Area" localSheetId="5">'Revenue Build'!$A$1:$AQ$240</definedName>
    <definedName name="_xlnm.Print_Area">#REF!</definedName>
    <definedName name="print_new">[28]!PAGE1,[28]!page3,[28]!page2</definedName>
    <definedName name="_xlnm.Print_Titles" localSheetId="8">'Annual P&amp;L'!$1:$6</definedName>
    <definedName name="_xlnm.Print_Titles" localSheetId="4">Headcount!$A:$E,Headcount!$1:$14</definedName>
    <definedName name="_xlnm.Print_Titles" localSheetId="6">'Monthly P&amp;L'!$A:$C,'Monthly P&amp;L'!$1:$5</definedName>
    <definedName name="_xlnm.Print_Titles" localSheetId="7">'Quarterly P&amp;L'!$A:$C,'Quarterly P&amp;L'!$1:$6</definedName>
    <definedName name="_xlnm.Print_Titles" localSheetId="5">'Revenue Build'!$A:$C,'Revenue Build'!$1:$6</definedName>
    <definedName name="print1">[28]!rock_summ,[28]!orio_summ</definedName>
    <definedName name="PRIOR">[29]INPUTSCREEN!$F$9</definedName>
    <definedName name="product">#REF!</definedName>
    <definedName name="Proforma" hidden="1">{"Print Summary",#N/A,FALSE,"Summary Analysis";"Print FCF",#N/A,FALSE,"FCF Analysis";"Print Sensitivity",#N/A,FALSE,"Sensitivity Analysis";"Print NAV",#N/A,FALSE,"NAV Analysis";"Print Credit",#N/A,FALSE,"Credit Analysis"}</definedName>
    <definedName name="Project">[11]LBOShell!$B$1</definedName>
    <definedName name="Project_Name">'[30]Base Info'!$D$3</definedName>
    <definedName name="Puffer">#REF!</definedName>
    <definedName name="q.">[31]Model!$P$3</definedName>
    <definedName name="Rate">'[8]Total Americas'!$E$76</definedName>
    <definedName name="REGION">#REF!</definedName>
    <definedName name="Regions">#REF!</definedName>
    <definedName name="remit">#REF!</definedName>
    <definedName name="Renesas_Bitnand">[6]Vendor_Supply!$A$74:$IV$74</definedName>
    <definedName name="Renesas_Revnand">[6]Vendor_Revenues!$A$83:$IV$83</definedName>
    <definedName name="ReportCreated">FALSE</definedName>
    <definedName name="required">#REF!</definedName>
    <definedName name="rev">#REF!</definedName>
    <definedName name="roa">#REF!</definedName>
    <definedName name="Royalty">[11]Control!#REF!</definedName>
    <definedName name="RP_database">OFFSET('[32]Data 1 actual'!$L$12,0,0,COUNTA('[32]Data 1 actual'!$L:$L),9)</definedName>
    <definedName name="s" hidden="1">{#N/A,#N/A,FALSE,"earnings"}</definedName>
    <definedName name="sa" hidden="1">{#N/A,#N/A,FALSE,"Renewals In Process";#N/A,#N/A,FALSE,"New Clients In Process";#N/A,#N/A,FALSE,"Completed New Clients";#N/A,#N/A,FALSE,"Completed Renewals"}</definedName>
    <definedName name="Samsung_ASPdram">[6]Vendor_Revenues!$A$123:$IV$123</definedName>
    <definedName name="Samsung_ASPnand">[6]Vendor_Revenues!$A$124:$IV$124</definedName>
    <definedName name="Samsung_Bitnand">[6]Vendor_Supply!$A$80:$IV$80</definedName>
    <definedName name="Samsung_Revnand">[6]Vendor_Revenues!$A$89:$IV$89</definedName>
    <definedName name="SAPBEXdnldView" hidden="1">"7ED4PA7WLUMKXI8NE92UEZIK6"</definedName>
    <definedName name="SAPBEXsysID" hidden="1">"BWP"</definedName>
    <definedName name="sb" hidden="1">{#N/A,#N/A,FALSE,"Renewals In Process";#N/A,#N/A,FALSE,"New Clients In Process";#N/A,#N/A,FALSE,"Completed New Clients";#N/A,#N/A,FALSE,"Completed Renewals"}</definedName>
    <definedName name="SBN">[22]Assumptions!$X$12</definedName>
    <definedName name="sdc" hidden="1">{#N/A,#N/A,TRUE,"ProFormaProfit";#N/A,#N/A,TRUE,"ProFormaCash";#N/A,#N/A,TRUE,"Depreciation";#N/A,#N/A,TRUE,"Assets";#N/A,#N/A,TRUE,"Revenue";#N/A,#N/A,TRUE,"EstimatedPurchase"}</definedName>
    <definedName name="sdfa" hidden="1">{#N/A,#N/A,FALSE,"Renewals In Process";#N/A,#N/A,FALSE,"New Clients In Process";#N/A,#N/A,FALSE,"Completed New Clients";#N/A,#N/A,FALSE,"Completed Renewals"}</definedName>
    <definedName name="sdfs" hidden="1">{#N/A,#N/A,FALSE,"Renewals In Process";#N/A,#N/A,FALSE,"New Clients In Process";#N/A,#N/A,FALSE,"Completed New Clients";#N/A,#N/A,FALSE,"Completed Renewals"}</definedName>
    <definedName name="sds" hidden="1">{#N/A,#N/A,TRUE,"ProFormaProfit";#N/A,#N/A,TRUE,"ProFormaCash";#N/A,#N/A,TRUE,"Depreciation";#N/A,#N/A,TRUE,"Assets";#N/A,#N/A,TRUE,"Revenue";#N/A,#N/A,TRUE,"EstimatedPurchase"}</definedName>
    <definedName name="sectionNames">#REF!</definedName>
    <definedName name="segments">'[33]Oil Sands Pro'!$A$3:$F$13</definedName>
    <definedName name="SEK">[22]Assumptions!$E$7</definedName>
    <definedName name="sencount" hidden="1">1</definedName>
    <definedName name="sex">[15]Defaults!$B$3:$B$4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_price">[7]A!$F$8</definedName>
    <definedName name="Shares">[11]Control!#REF!</definedName>
    <definedName name="SizingColumn">#REF!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olver_adj" hidden="1">#REF!</definedName>
    <definedName name="solver_adj1" hidden="1">#REF!</definedName>
    <definedName name="solver_lhs1" hidden="1">[2]DIL4!#REF!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0.6</definedName>
    <definedName name="Spaces">"      "</definedName>
    <definedName name="Sprich">[25]Basis!$H$17</definedName>
    <definedName name="SPWS_WBID">"EA5FD28D-6EB6-43B1-B320-06DE768E6358"</definedName>
    <definedName name="ss" hidden="1">{#N/A,#N/A,FALSE,"Calc";#N/A,#N/A,FALSE,"Sensitivity";#N/A,#N/A,FALSE,"LT Earn.Dil.";#N/A,#N/A,FALSE,"Dil. AVP"}</definedName>
    <definedName name="sssss" hidden="1">{#N/A,#N/A,FALSE,"earnings"}</definedName>
    <definedName name="status">[15]Defaults!$M$3:$M$13</definedName>
    <definedName name="STM_Bitnand">[6]Vendor_Supply!$A$92:$IV$92</definedName>
    <definedName name="STM_Revnand">[6]Vendor_Revenues!$A$101:$IV$101</definedName>
    <definedName name="stuff" hidden="1">{"TOTAL",#N/A,FALSE,"A";"FISCAL94",#N/A,FALSE,"A";"FISCAL95",#N/A,FALSE,"A";"FISCAL96",#N/A,FALSE,"A";"misc page",#N/A,FALSE,"A"}</definedName>
    <definedName name="Swvu.Gmbh." hidden="1">#REF!</definedName>
    <definedName name="syn">'[5]S&amp;U'!#REF!</definedName>
    <definedName name="table">#REF!</definedName>
    <definedName name="Tables" hidden="1">{"sales",#N/A,FALSE,"Sales";"sales existing",#N/A,FALSE,"Sales";"sales rd1",#N/A,FALSE,"Sales";"sales rd2",#N/A,FALSE,"Sales"}</definedName>
    <definedName name="targ1">[11]Control!$E$10</definedName>
    <definedName name="targ3">[11]Control!$E$11</definedName>
    <definedName name="targ4">[11]Control!$E$12</definedName>
    <definedName name="targ5">[11]Control!$E$13</definedName>
    <definedName name="tax">#REF!</definedName>
    <definedName name="tEILER">[34]Basis!$C$15</definedName>
    <definedName name="TemplatePrintArea">#REF!</definedName>
    <definedName name="termb">#REF!</definedName>
    <definedName name="test3" hidden="1">{"FCST_byMonth",#N/A,FALSE,"Legal Entity Inc Stmt";"FCST_Report",#N/A,FALSE,"Legal Entity Inc Stmt";"FCST_byMonth",#N/A,FALSE,"Lyon_Corp Inc Stmt";"FCST_byMonth",#N/A,FALSE,"Fabrics Total Inc Stmt";"FCST_Report",#N/A,FALSE,"Fabrics Total Inc Stmt";"FCST_byMonth",#N/A,FALSE,"Architectural";"FCST_Report",#N/A,FALSE,"Architectural";"FCST_byMonth",#N/A,FALSE,"Reinforcement for Composites";"FCST_Report",#N/A,FALSE,"Reinforcement for Composites";"FCST_byMonth",#N/A,FALSE,"Electrical";"FCST_Report",#N/A,FALSE,"Electrical";"FCST_byMonth",#N/A,FALSE,"Ballistics";"FCST_Report",#N/A,FALSE,"Ballistics";"FCST_byMonth",#N/A,FALSE,"Protection";"FCST_Report",#N/A,FALSE,"Protection";"FCST_byMonth",#N/A,FALSE,"General Industrial";"FCST_Report",#N/A,FALSE,"General Industrial";"FCST_byMonth",#N/A,FALSE,"Total Prepreg Inc Stmt";"FCST_Report",#N/A,FALSE,"Total Prepreg Inc Stmt"}</definedName>
    <definedName name="tgt">[35]Assumptions!$S$9</definedName>
    <definedName name="tgt_shrs">[35]Assumptions!$AA$19</definedName>
    <definedName name="th" hidden="1">{"Print Summary",#N/A,FALSE,"Summary Analysis";"Print FCF",#N/A,FALSE,"FCF Analysis";"Print Sensitivity",#N/A,FALSE,"Sensitivity Analysis";"Print NAV",#N/A,FALSE,"NAV Analysis";"Print Credit",#N/A,FALSE,"Credit Analysis"}</definedName>
    <definedName name="the" hidden="1">{"Print Summary",#N/A,FALSE,"Summary Analysis";"Print FCF",#N/A,FALSE,"FCF Analysis";"Print Sensitivity",#N/A,FALSE,"Sensitivity Analysis";"Print NAV",#N/A,FALSE,"NAV Analysis";"Print Credit",#N/A,FALSE,"Credit Analysis"}</definedName>
    <definedName name="thth" hidden="1">{#N/A,#N/A,FALSE,"Calc";#N/A,#N/A,FALSE,"Sensitivity";#N/A,#N/A,FALSE,"LT Earn.Dil.";#N/A,#N/A,FALSE,"Dil. AVP"}</definedName>
    <definedName name="Ticker">#REF!</definedName>
    <definedName name="TITLE">#REF!</definedName>
    <definedName name="Toshiba_ASPnand">[6]Vendor_Revenues!$A$126:$IV$126</definedName>
    <definedName name="Toshiba_Bitnand">[6]Vendor_Supply!$A$98:$IV$98</definedName>
    <definedName name="Toshiba_Revnand">[6]Vendor_Revenues!$A$107:$IV$107</definedName>
    <definedName name="toto">#REF!</definedName>
    <definedName name="TraeBez">#REF!</definedName>
    <definedName name="Traeger">#REF!</definedName>
    <definedName name="trailing_cash_financing_arm">[7]A!$G$18</definedName>
    <definedName name="trailing_cash_industrial">[7]A!$G$17</definedName>
    <definedName name="trailing_debt_financing_arm">[7]A!$G$20</definedName>
    <definedName name="trailing_debt_industrial">[7]A!$G$19</definedName>
    <definedName name="trend" hidden="1">{#N/A,#N/A,FALSE,"Aging Summary";#N/A,#N/A,FALSE,"Ratio Analysis";#N/A,#N/A,FALSE,"Test 120 Day Accts";#N/A,#N/A,FALSE,"Tickmarks"}</definedName>
    <definedName name="try" hidden="1">{#N/A,#N/A,FALSE,"Cover";#N/A,#N/A,FALSE,"LUMI";#N/A,#N/A,FALSE,"COMD";#N/A,#N/A,FALSE,"Valuation";#N/A,#N/A,FALSE,"Assumptions";#N/A,#N/A,FALSE,"Pooling";#N/A,#N/A,FALSE,"BalanceSheet"}</definedName>
    <definedName name="tss" hidden="1">{#N/A,#N/A,TRUE,"ProFormaProfit";#N/A,#N/A,TRUE,"ProFormaCash";#N/A,#N/A,TRUE,"Depreciation";#N/A,#N/A,TRUE,"Assets";#N/A,#N/A,TRUE,"Revenue";#N/A,#N/A,TRUE,"EstimatedPurchase"}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u" hidden="1">{TRUE,TRUE,-1.25,-15.5,604.5,342,FALSE,TRUE,TRUE,FALSE,0,10,#N/A,1,#N/A,9.109375,16.1481481481481,1,FALSE,FALSE,3,TRUE,1,FALSE,100,"Swvu.All.","ACwvu.All.",#N/A,FALSE,FALSE,0.748031496062992,0.748031496062992,0.62992125984252,0.47244094488189,2,"","",FALSE,FALSE,FALSE,FALSE,1,#N/A,1,1,"=R6C2:R55C13",FALSE,#N/A,#N/A,FALSE,FALSE,FALSE,9,65532,65532,FALSE,FALSE,TRUE,TRUE,TRUE}</definedName>
    <definedName name="Units">#REF!</definedName>
    <definedName name="UNKNOWN" hidden="1">39472.4140856481</definedName>
    <definedName name="usd">#REF!</definedName>
    <definedName name="UShares">[11]Control!#REF!</definedName>
    <definedName name="UUMSREST800">#REF!</definedName>
    <definedName name="UUMSREST817">#REF!</definedName>
    <definedName name="UUMSREST818">#REF!</definedName>
    <definedName name="UUMSREST819">#REF!</definedName>
    <definedName name="UUMSREST820">#REF!</definedName>
    <definedName name="UUMSREST821">#REF!</definedName>
    <definedName name="UUMSREST822">#REF!</definedName>
    <definedName name="UUMSREST824">#REF!</definedName>
    <definedName name="UUMSREST825">#REF!</definedName>
    <definedName name="UUMSREST826">#REF!</definedName>
    <definedName name="UUMSREST827">#REF!</definedName>
    <definedName name="UUMSREST828">#REF!</definedName>
    <definedName name="UUMSREST829">#REF!</definedName>
    <definedName name="UUMSREST830">#REF!</definedName>
    <definedName name="UUMSREST831">#REF!</definedName>
    <definedName name="UUMSREST832">#REF!</definedName>
    <definedName name="UUMSREST833">#REF!</definedName>
    <definedName name="UUMSREST834">#REF!</definedName>
    <definedName name="UUMSREST835">#REF!</definedName>
    <definedName name="UUMSREST836">#REF!</definedName>
    <definedName name="UUMSREST837">#REF!</definedName>
    <definedName name="UUMSREST838">#REF!</definedName>
    <definedName name="UUMSREST839">#REF!</definedName>
    <definedName name="UUMSREST840">#REF!</definedName>
    <definedName name="UUMSREST841">#REF!</definedName>
    <definedName name="UUMSREST842">#REF!</definedName>
    <definedName name="UUMSREST843">#REF!</definedName>
    <definedName name="UUMSREST844">#REF!</definedName>
    <definedName name="UUMSREST845">#REF!</definedName>
    <definedName name="UUMSREST846">#REF!</definedName>
    <definedName name="UUMSREST850">#REF!</definedName>
    <definedName name="UUMSREST870">#REF!</definedName>
    <definedName name="UUMSREST880">#REF!</definedName>
    <definedName name="UUMSREST888">#REF!</definedName>
    <definedName name="UUMSREST890">#REF!</definedName>
    <definedName name="UUMSREST891">#REF!</definedName>
    <definedName name="UUMSREST895">#REF!</definedName>
    <definedName name="UUMSREST980">#REF!</definedName>
    <definedName name="UUMSREST981">#REF!</definedName>
    <definedName name="UUMSREST990">#REF!</definedName>
    <definedName name="UUMSREST991">#REF!</definedName>
    <definedName name="UUMSREST992">#REF!</definedName>
    <definedName name="UUMSREST994">#REF!</definedName>
    <definedName name="UUMSREST998">#REF!</definedName>
    <definedName name="UUMSREST999">#REF!</definedName>
    <definedName name="UUMSWA800">#REF!</definedName>
    <definedName name="UUMSWA817">#REF!</definedName>
    <definedName name="UUMSWA818">#REF!</definedName>
    <definedName name="UUMSWA819">#REF!</definedName>
    <definedName name="UUMSWA820">#REF!</definedName>
    <definedName name="UUMSWA821">#REF!</definedName>
    <definedName name="UUMSWA822">#REF!</definedName>
    <definedName name="UUMSWA824">#REF!</definedName>
    <definedName name="UUMSWA825">#REF!</definedName>
    <definedName name="UUMSWA826">#REF!</definedName>
    <definedName name="UUMSWA827">#REF!</definedName>
    <definedName name="UUMSWA828">#REF!</definedName>
    <definedName name="UUMSWA829">#REF!</definedName>
    <definedName name="UUMSWA830">#REF!</definedName>
    <definedName name="UUMSWA831">#REF!</definedName>
    <definedName name="UUMSWA832">#REF!</definedName>
    <definedName name="UUMSWA833">#REF!</definedName>
    <definedName name="UUMSWA834">#REF!</definedName>
    <definedName name="UUMSWA835">#REF!</definedName>
    <definedName name="UUMSWA836">#REF!</definedName>
    <definedName name="UUMSWA837">#REF!</definedName>
    <definedName name="UUMSWA838">#REF!</definedName>
    <definedName name="UUMSWA839">#REF!</definedName>
    <definedName name="UUMSWA840">#REF!</definedName>
    <definedName name="UUMSWA841">#REF!</definedName>
    <definedName name="UUMSWA842">#REF!</definedName>
    <definedName name="UUMSWA843">#REF!</definedName>
    <definedName name="UUMSWA844">#REF!</definedName>
    <definedName name="UUMSWA845">#REF!</definedName>
    <definedName name="UUMSWA846">#REF!</definedName>
    <definedName name="UUMSWA850">#REF!</definedName>
    <definedName name="UUMSWA870">#REF!</definedName>
    <definedName name="UUMSWA880">#REF!</definedName>
    <definedName name="UUMSWA888">#REF!</definedName>
    <definedName name="UUMSWA890">#REF!</definedName>
    <definedName name="UUMSWA891">#REF!</definedName>
    <definedName name="UUMSWA895">#REF!</definedName>
    <definedName name="UUMSWA980">#REF!</definedName>
    <definedName name="UUMSWA981">#REF!</definedName>
    <definedName name="UUMSWA990">#REF!</definedName>
    <definedName name="UUMSWA991">#REF!</definedName>
    <definedName name="UUMSWA992">#REF!</definedName>
    <definedName name="UUMSWA994">#REF!</definedName>
    <definedName name="UUMSWA998">#REF!</definedName>
    <definedName name="UUMSWA999">#REF!</definedName>
    <definedName name="V_A">VLOOKUP(#REF!,CRT,4,FALSE)</definedName>
    <definedName name="V_ACN">VLOOKUP(#REF!,CRT,5,FALSE)</definedName>
    <definedName name="V_AN">VLOOKUP(#REF!,CRT,2,FALSE)</definedName>
    <definedName name="V_D">VLOOKUP(#REF!,CRT,6,FALSE)</definedName>
    <definedName name="V_G">VLOOKUP(#REF!,CRT,7,FALSE)</definedName>
    <definedName name="V_T">VLOOKUP(#REF!,CRT,8,FALSE)</definedName>
    <definedName name="validation">'[36]List of Companies'!#REF!</definedName>
    <definedName name="vista">#REF!</definedName>
    <definedName name="VJJahr">#REF!</definedName>
    <definedName name="VJMonat">#REF!</definedName>
    <definedName name="vo" hidden="1">{"consolidated",#N/A,FALSE,"Sheet1";"cms",#N/A,FALSE,"Sheet1";"fse",#N/A,FALSE,"Sheet1"}</definedName>
    <definedName name="VonMonat">#REF!</definedName>
    <definedName name="vv" hidden="1">{#N/A,#N/A,FALSE,"Renewals In Process";#N/A,#N/A,FALSE,"New Clients In Process";#N/A,#N/A,FALSE,"Completed New Clients";#N/A,#N/A,FALSE,"Completed Renewals"}</definedName>
    <definedName name="w" hidden="1">{"DCF","UPSIDE CASE",FALSE,"Sheet1";"DCF","BASE CASE",FALSE,"Sheet1";"DCF","DOWNSIDE CASE",FALSE,"Sheet1"}</definedName>
    <definedName name="WDia">[6]Vendor_Supply!$AQ$1:$AQ$65536</definedName>
    <definedName name="werhio">'[5]Operating Model'!#REF!</definedName>
    <definedName name="WPM">[6]Vendor_Supply!$AP$1:$AP$65536</definedName>
    <definedName name="wrn.1." hidden="1">{#N/A,#N/A,FALSE,"Calc";#N/A,#N/A,FALSE,"Sensitivity";#N/A,#N/A,FALSE,"LT Earn.Dil.";#N/A,#N/A,FALSE,"Dil. AVP"}</definedName>
    <definedName name="wrn.101." hidden="1">{"101",#N/A,FALSE,"101"}</definedName>
    <definedName name="wrn.2._.pagers." hidden="1">{"Cover",#N/A,FALSE,"Cover";"Summary",#N/A,FALSE,"Summarpage"}</definedName>
    <definedName name="wrn.ACCOUNTS." hidden="1">{"comptes",#N/A,FALSE,"ACCOUNTS"}</definedName>
    <definedName name="wrn.Acquisition_matrix." hidden="1">{"Acq_matrix",#N/A,FALSE,"Acquisition Matrix"}</definedName>
    <definedName name="wrn.Acquisition_matrix2" hidden="1">{"Acq_matrix",#N/A,FALSE,"Acquisition Matrix"}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{#N/A,#N/A,FALSE,"ASSUMPTIONS";#N/A,#N/A,FALSE,"Valuation Summary";"page1",#N/A,FALSE,"PRESENTATION";"page2",#N/A,FALSE,"PRESENTATION";#N/A,#N/A,FALSE,"ORIGINAL_ROLLBACK"}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Models." hidden="1">{#N/A,#N/A,FALSE,"inc state";#N/A,#N/A,FALSE,"Products";#N/A,#N/A,FALSE,"bal sht"}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nnual._.Income._.Statement." hidden="1">{#N/A,#N/A,FALSE,"earnings"}</definedName>
    <definedName name="wrn.Annual._.revenue._.model." hidden="1">{#N/A,#N/A,FALSE,"earnings"}</definedName>
    <definedName name="wrn.AQUIROR._.DCF." hidden="1">{"AQUIRORDCF",#N/A,FALSE,"Merger consequences";"Acquirorassns",#N/A,FALSE,"Merger consequences"}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S_CLOSE." hidden="1">{#N/A,#N/A,FALSE,"MGMT_P&amp;L";#N/A,#N/A,FALSE,"MGMT_COGS";#N/A,#N/A,FALSE,"EXP_RPT"}</definedName>
    <definedName name="wrn.Auto._.Comp." hidden="1">{#N/A,#N/A,FALSE,"Sheet1"}</definedName>
    <definedName name="wrn.Back._.Page." hidden="1">{"Back Page",#N/A,FALSE,"Front and Back"}</definedName>
    <definedName name="wrn.Balance._.sheet._.and._.cashflow." hidden="1">{"Consolidated assets",#N/A,FALSE,"Bal Sheet";"Consolidated liabilities",#N/A,FALSE,"Bal Sheet";"Cashflow statement",#N/A,FALSE,"Bal Sheet"}</definedName>
    <definedName name="wrn.BankView." hidden="1">{"BankView",#N/A,FALSE,"TransSum";#N/A,#N/A,FALSE,"Lab";#N/A,#N/A,FALSE,"Micro wo HiPur";#N/A,#N/A,FALSE,"Texas";#N/A,#N/A,FALSE,"Temple";#N/A,#N/A,FALSE,"Micro";#N/A,#N/A,FALSE,"BuyResale";#N/A,#N/A,FALSE,"Spec.";#N/A,#N/A,FALSE,"Comb";#N/A,#N/A,FALSE,"StandAlon";#N/A,#N/A,FALSE,"IncStmt";#N/A,#N/A,FALSE,"BalSht";#N/A,#N/A,FALSE,"CapEx";#N/A,#N/A,FALSE,"CashFlow";#N/A,#N/A,FALSE,"TBS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KK._.Assembly._.Capacity._.Statement." hidden="1">{#N/A,#N/A,TRUE,"Forcast Volumn";#N/A,#N/A,TRUE,"Principle mc";#N/A,#N/A,TRUE,"Common mc";#N/A,#N/A,TRUE,"SP Calculation";#N/A,#N/A,TRUE,"SP Assignment";#N/A,#N/A,TRUE,"Tablet Loader";#N/A,#N/A,TRUE,"Tablet Assignment";#N/A,#N/A,TRUE,"Accessories"}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entral._.Co." hidden="1">{"Holding",#N/A,FALSE,"Holding";"Mktg",#N/A,FALSE,"Marketing";"Development",#N/A,FALSE,"Development";"Sarl",#N/A,FALSE,"Sarl";"operations",#N/A,FALSE,"Operations";"Gmbh",#N/A,FALSE,"GMBH";"America",#N/A,FALSE,"Amadeus America";"Shares",#N/A,FALSE,"Shares";"Asia",#N/A,FALSE,"Amadeus Asia";"Total",#N/A,FALSE,"Total Central Co";"All",#N/A,FALSE,"All Central Co."}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od" hidden="1">{"Cons Dos Digitos",#N/A,FALSE,"Cons.";"Cons Tres Digitos",#N/A,FALSE,"Cons."}</definedName>
    <definedName name="wrn.COMPCO." hidden="1">{"Page1",#N/A,FALSE,"CompCo";"Page2",#N/A,FALSE,"CompCo"}</definedName>
    <definedName name="wrn.Compensation." hidden="1">{"Comp sum",#N/A,FALSE,"Compensation";"Comp by emp",#N/A,FALSE,"Compensation";"Salary summary",#N/A,FALSE,"Compensation";"Payroll taxes",#N/A,FALSE,"Compensation";"HC by Month",#N/A,FALSE,"Compensation";"Misc",#N/A,FALSE,"Compensation"}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d" hidden="1">{"Cons Dos Digitos",#N/A,FALSE,"Cons.";"Cons Tres Digitos",#N/A,FALSE,"Cons."}</definedName>
    <definedName name="wrn.conp" hidden="1">{"Cons Dos Digitos",#N/A,FALSE,"Cons.";"Cons Tres Digitos",#N/A,FALSE,"Cons."}</definedName>
    <definedName name="wrn.cons" hidden="1">{"Cons Dos Digitos",#N/A,FALSE,"Cons.";"Cons Tres Digitos",#N/A,FALSE,"Cons."}</definedName>
    <definedName name="wrn.Cons." hidden="1">{"Cons Dos Digitos",#N/A,FALSE,"Cons.";"Cons Tres Digitos",#N/A,FALSE,"Cons."}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RE._.KINETICS." hidden="1">{"COREKINETICS",#N/A,FALSE,"CORE KINETICS"}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DCF." hidden="1">{"DCF1",#N/A,FALSE,"SIERRA DCF";"MATRIX1",#N/A,FALSE,"SIERRA DCF"}</definedName>
    <definedName name="wrn.DCF_Terminal_Value_qchm." hidden="1">{"qchm_dcf",#N/A,FALSE,"QCHMDCF2";"qchm_terminal",#N/A,FALSE,"QCHMDCF2"}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ocument." hidden="1">{"consolidated",#N/A,FALSE,"Sheet1";"cms",#N/A,FALSE,"Sheet1";"fse",#N/A,FALSE,"Sheet1"}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os" hidden="1">{"Cons Dos Digitos",#N/A,FALSE,"Cons.";"Cons Tres Digitos",#N/A,FALSE,"Cons."}</definedName>
    <definedName name="wrn.dot" hidden="1">{"Cons Dos Digitos",#N/A,FALSE,"Cons.";"Cons Tres Digitos",#N/A,FALSE,"Cons."}</definedName>
    <definedName name="wrn.dts" hidden="1">{"Cons Dos Digitos",#N/A,FALSE,"Cons.";"Cons Tres Digitos",#N/A,FALSE,"Cons."}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conomic._.Value._.Added._.Analysis." hidden="1">{"EVA",#N/A,FALSE,"EVA";"WACC",#N/A,FALSE,"WACC"}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FCB." hidden="1">{"FCB_ALL",#N/A,FALSE,"FCB"}</definedName>
    <definedName name="wrn.fcb2" hidden="1">{"FCB_ALL",#N/A,FALSE,"FCB"}</definedName>
    <definedName name="wrn.Fees._.by._.Quarter." hidden="1">{#N/A,#N/A,FALSE,"Fees by QTR"}</definedName>
    <definedName name="wrn.Financial._.Output." hidden="1">{"P and L",#N/A,FALSE,"Financial Output";"Cashflow",#N/A,FALSE,"Financial Output";"Balance Sheet",#N/A,FALSE,"Financial Output"}</definedName>
    <definedName name="wrn.financials." hidden="1">{"cover sheet",#N/A,FALSE,"A";"balance sheet",#N/A,FALSE,"A";"income statement",#N/A,FALSE,"A"}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LASH." hidden="1">{#N/A,#N/A,FALSE,"OutlK-QTD";#N/A,#N/A,FALSE,"BKLG";#N/A,#N/A,FALSE,"BKLG Link";#N/A,#N/A,FALSE,"OEMBILL";#N/A,#N/A,FALSE,"Pre_Book";#N/A,#N/A,FALSE,"Delinq_outQ3"}</definedName>
    <definedName name="wrn.Front._.Page." hidden="1">{"Front Page",#N/A,FALSE,"Front and Back"}</definedName>
    <definedName name="wrn.Full." hidden="1">{#N/A,#N/A,TRUE,"TransSum";#N/A,#N/A,TRUE,"Build-up Tar";#N/A,#N/A,TRUE,"Build-up Acq";#N/A,#N/A,TRUE,"IncStmt";#N/A,#N/A,TRUE,"BalSht";#N/A,#N/A,TRUE,"CashFlow";#N/A,#N/A,TRUE,"TBS";#N/A,#N/A,TRUE,"Earn-out";#N/A,#N/A,TRUE,"Carlyle Gain";#N/A,#N/A,TRUE,"Returns"}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ross._.Profit._.Report." hidden="1">{"Monthly",#N/A,FALSE,"Phosphate Gross Profit";"Quarterly",#N/A,FALSE,"Phosphate Gross Profit"}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income._.statement." hidden="1">{"income statement",#N/A,FALSE,"ATLAS-A"}</definedName>
    <definedName name="wrn.INTL._.GROUP." hidden="1">{"INTLGROUP",#N/A,FALSE,"INTL GROUP"}</definedName>
    <definedName name="wrn.JANI._.REBATES." hidden="1">{"TOTAL",#N/A,FALSE,"A";"FISCAL94",#N/A,FALSE,"A";"FISCAL95",#N/A,FALSE,"A";"FISCAL96",#N/A,FALSE,"A";"misc page",#N/A,FALSE,"A"}</definedName>
    <definedName name="wrn.Manpower._.1996." hidden="1">{#N/A,#N/A,FALSE,"MP96"}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ergerCon." hidden="1">{"Output",#N/A,FALSE,"Simpson1";"Backup",#N/A,FALSE,"Simpson1"}</definedName>
    <definedName name="wrn.Model." hidden="1">{#N/A,#N/A,FALSE,"Cover";#N/A,#N/A,FALSE,"LUMI";#N/A,#N/A,FALSE,"COMD";#N/A,#N/A,FALSE,"Valuation";#N/A,#N/A,FALSE,"Assumptions";#N/A,#N/A,FALSE,"Pooling";#N/A,#N/A,FALSE,"BalanceSheet"}</definedName>
    <definedName name="wrn.NCM._.Print._.Out." hidden="1">{"AO/EO/AP",#N/A,FALSE,"NCM REV";"VAR/HQ/Totals",#N/A,FALSE,"NCM REV"}</definedName>
    <definedName name="wrn.One." hidden="1">{#N/A,#N/A,TRUE,"Summary";#N/A,#N/A,TRUE,"Value";#N/A,#N/A,TRUE,"Returns";#N/A,#N/A,TRUE,"fee flows";#N/A,#N/A,TRUE,"Assume";#N/A,#N/A,TRUE,"Target IS";#N/A,#N/A,TRUE,"Matrix";#N/A,#N/A,TRUE,"Debt";#N/A,#N/A,TRUE,"Earnout"}</definedName>
    <definedName name="wrn.Operaions._.net._.income." hidden="1">{"top 1",#N/A,FALSE,"Operations";"top 2",#N/A,FALSE,"Operations";"Bottom 1",#N/A,FALSE,"Operations";"Bottom 2",#N/A,FALSE,"Operations";"Admin 1",#N/A,FALSE,"Operations";"Admin 2",#N/A,FALSE,"Operations"}</definedName>
    <definedName name="wrn.Ops._.Meeting." hidden="1">{#N/A,#N/A,FALSE,"Changes since last ESM";#N/A,#N/A,FALSE,"Changes since last div meeting";#N/A,#N/A,FALSE,"4 Qtr Rolling Fcst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mary._.Reports." hidden="1">{#N/A,#N/A,FALSE,"Plan Summary";#N/A,#N/A,FALSE,"Monthly Goals";#N/A,#N/A,FALSE,"Profit Detail";#N/A,#N/A,FALSE,"Output Comparison";#N/A,#N/A,FALSE,"Production Goals"}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_.Full." hidden="1">{"Print Summary",#N/A,FALSE,"Summary Analysis";"Print FCF",#N/A,FALSE,"FCF Analysis";"Print Sensitivity",#N/A,FALSE,"Sensitivity Analysis";"Print NAV",#N/A,FALSE,"NAV Analysis";"Print Credit",#N/A,FALSE,"Credit Analysis"}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{"PA1",#N/A,FALSE,"BORDMW";"pa2",#N/A,FALSE,"BORDMW";"PA3",#N/A,FALSE,"BORDMW";"PA4",#N/A,FALSE,"BORDMW"}</definedName>
    <definedName name="wrn.PRINTREP." hidden="1">{"PRINTREP",#N/A,FALSE,"Sheet1"}</definedName>
    <definedName name="wrn.PRODUCT._.GROUP." hidden="1">{"PRODUCTGROUP",#N/A,FALSE,"PRODUCT GROUP"}</definedName>
    <definedName name="wrn.Product._.Mix." hidden="1">{"Field",#N/A,FALSE,"Q2 Mix Fcst - Bookings";"Totals",#N/A,FALSE,"Q2 Mix Fcst - Bookings"}</definedName>
    <definedName name="wrn.Pulp." hidden="1">{"Pulp Production",#N/A,FALSE,"Pulp";"Pulp Earnings",#N/A,FALSE,"Pulp"}</definedName>
    <definedName name="wrn.Quarterly._.Income._.Statement." hidden="1">{#N/A,#N/A,FALSE,"earnings"}</definedName>
    <definedName name="wrn.Quarterly._.revenue._.model." hidden="1">{#N/A,#N/A,FALSE,"earnings"}</definedName>
    <definedName name="wrn.Reader." hidden="1">{"Reader",#N/A,FALSE,"Summary";"Reader",#N/A,FALSE,"Buildup";"Reader",#N/A,FALSE,"Financials";"Reader",#N/A,FALSE,"Debt &amp; Other"}</definedName>
    <definedName name="wrn.Region._.Totals." hidden="1">{#N/A,#N/A,FALSE,"SUMMARY";#N/A,#N/A,FALSE,"CORP Consolidated";#N/A,#N/A,FALSE,"NA Consolidated";#N/A,#N/A,FALSE,"APJ Consolidated";#N/A,#N/A,FALSE,"EMEA Consolidated";#N/A,#N/A,FALSE,"LA Consolidated"}</definedName>
    <definedName name="wrn.Region._.Totals._.w._.Bus._.Unit._.Totals." hidden="1">{#N/A,#N/A,FALSE,"SUMMARY";#N/A,#N/A,FALSE,"BPCS TOTAL";#N/A,#N/A,FALSE,"IBIZ TOTAL";#N/A,#N/A,FALSE,"INFIN TOTAL";#N/A,#N/A,FALSE,"CORP Consolidated";#N/A,#N/A,FALSE,"NA Consolidated";#N/A,#N/A,FALSE,"APJ Consolidated";#N/A,#N/A,FALSE,"EMEA Consolidated";#N/A,#N/A,FALSE,"LA Consolidated";#N/A,#N/A,FALSE,"OGS SUMMARY";#N/A,#N/A,FALSE,"Changes"}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hareholders._.and._.Employees." hidden="1">{#N/A,#N/A,FALSE,"Share the Wealth";#N/A,#N/A,FALSE,"Shareholders vs Employees";#N/A,#N/A,FALSE,"Share vs Emp Summary"}</definedName>
    <definedName name="wrn.SHORT." hidden="1">{"CREDIT STATISTICS",#N/A,FALSE,"STATS";"CF_AND_IS",#N/A,FALSE,"PLAN";"BALSHEET",#N/A,FALSE,"BALANCE SHEET"}</definedName>
    <definedName name="wrn.STAND_ALONE_BOTH." hidden="1">{"FCB_ALL",#N/A,FALSE,"FCB";"GREY_ALL",#N/A,FALSE,"GREY"}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TARGET._.DCF." hidden="1">{"targetdcf",#N/A,FALSE,"Merger consequences";"TARGETASSU",#N/A,FALSE,"Merger consequences";"TERMINAL VALUE",#N/A,FALSE,"Merger consequences"}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USF._.GROUP." hidden="1">{"USFGROUP",#N/A,FALSE,"USF GROUP CONSOL"}</definedName>
    <definedName name="wrn.Wacc." hidden="1">{"Area1",#N/A,FALSE,"OREWACC";"Area2",#N/A,FALSE,"OREWACC"}</definedName>
    <definedName name="wrn.weekly." hidden="1">{#N/A,#N/A,TRUE,"Comps";#N/A,#N/A,TRUE,"Notes";#N/A,#N/A,TRUE,"Trend Analysis 97";#N/A,#N/A,TRUE,"Trend Analysis 98"}</definedName>
    <definedName name="wrn.Weekly._.Printout." hidden="1">{#N/A,#N/A,FALSE,"EXEC";#N/A,#N/A,FALSE,"Backup";#N/A,#N/A,FALSE,"BACKLOG";#N/A,#N/A,FALSE,"Rollforward";#N/A,#N/A,FALSE,"Regional Bkgs"}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k._.to._.Wk._.Product._.Mix." hidden="1">{"Wk to Wk Field",#N/A,FALSE,"Wk to Wk Product Mix";"Wk to Wk Totals",#N/A,FALSE,"Wk to Wk Product Mix"}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S" hidden="1">{#N/A,#N/A,FALSE,"Renewals In Process";#N/A,#N/A,FALSE,"New Clients In Process";#N/A,#N/A,FALSE,"Completed New Clients";#N/A,#N/A,FALSE,"Completed Renewals"}</definedName>
    <definedName name="wt" hidden="1">{#N/A,#N/A,FALSE,"FY97";#N/A,#N/A,FALSE,"FY98";#N/A,#N/A,FALSE,"FY99";#N/A,#N/A,FALSE,"FY00";#N/A,#N/A,FALSE,"FY01"}</definedName>
    <definedName name="wvu.All." hidden="1">{TRUE,TRUE,-1.25,-15.5,604.5,342,FALSE,TRUE,TRUE,FALSE,0,10,#N/A,1,#N/A,9.109375,16.1481481481481,1,FALSE,FALSE,3,TRUE,1,FALSE,100,"Swvu.All.","ACwvu.All.",#N/A,FALSE,FALSE,0.748031496062992,0.748031496062992,0.62992125984252,0.47244094488189,2,"","",FALSE,FALSE,FALSE,FALSE,1,#N/A,1,1,"=R6C2:R55C13",FALSE,#N/A,#N/A,FALSE,FALSE,FALSE,9,65532,65532,FALSE,FALSE,TRUE,TRUE,TRUE}</definedName>
    <definedName name="wvu.America." hidden="1">{TRUE,TRUE,-1.25,-15.5,604.5,342,FALSE,TRUE,TRUE,FALSE,0,1,#N/A,1,#N/A,5.25242718446602,16.0740740740741,1,FALSE,FALSE,3,TRUE,1,FALSE,100,"Swvu.America.","ACwvu.America.",#N/A,FALSE,FALSE,0.748031496062992,0.748031496062992,0.62992125984252,0.47244094488189,2,"","",FALSE,FALSE,FALSE,FALSE,1,#N/A,1,1,"=R6C2:R55C16",FALSE,#N/A,#N/A,FALSE,FALSE,FALSE,9,65532,65532,FALSE,FALSE,TRUE,TRUE,TRUE}</definedName>
    <definedName name="wvu.Asia." hidden="1">{TRUE,TRUE,-1.25,-15.5,604.5,342,FALSE,TRUE,TRUE,FALSE,0,1,#N/A,1,#N/A,5.25242718446602,16.0740740740741,1,FALSE,FALSE,3,TRUE,1,FALSE,100,"Swvu.Asia.","ACwvu.Asia.",#N/A,FALSE,FALSE,0.748031496062992,0.748031496062992,0.62992125984252,0.47244094488189,2,"","",FALSE,FALSE,FALSE,FALSE,1,#N/A,1,1,"=R6C2:R55C16",FALSE,#N/A,#N/A,FALSE,FALSE,FALSE,9,65532,65532,FALSE,FALSE,TRUE,TRUE,TRUE}</definedName>
    <definedName name="wvu.Development." hidden="1">{TRUE,TRUE,-1.25,-15.5,604.5,342,FALSE,TRUE,TRUE,TRUE,0,1,#N/A,1,#N/A,5.4368932038835,16.0740740740741,1,FALSE,FALSE,3,TRUE,1,FALSE,100,"Swvu.Development.","ACwvu.Development.",#N/A,FALSE,FALSE,0.748031496062992,0.748031496062992,0.62992125984252,0.47244094488189,2,"","",FALSE,FALSE,FALSE,FALSE,1,#N/A,1,1,"=R6C2:R55C16",FALSE,#N/A,#N/A,FALSE,FALSE,FALSE,9,65532,65532,FALSE,FALSE,TRUE,TRUE,TRUE}</definedName>
    <definedName name="wvu.Gmbh." hidden="1">{TRUE,TRUE,-1.25,-15.5,604.5,342,FALSE,TRUE,TRUE,FALSE,0,1,#N/A,1,#N/A,5.37864077669903,16.1481481481481,1,FALSE,FALSE,3,TRUE,1,FALSE,100,"Swvu.Gmbh.","ACwvu.Gmbh.",#N/A,FALSE,FALSE,0.748031496062992,0.748031496062992,0.62992125984252,0.47244094488189,2,"","",FALSE,FALSE,FALSE,FALSE,1,#N/A,1,1,"=R6C2:R55C16",FALSE,#N/A,#N/A,FALSE,FALSE,FALSE,9,65532,65532,FALSE,FALSE,TRUE,TRUE,TRUE}</definedName>
    <definedName name="wvu.Holding." hidden="1">{TRUE,TRUE,-1.25,-15.5,604.5,342,FALSE,TRUE,TRUE,TRUE,0,1,#N/A,1,#N/A,5.25242718446602,16.0740740740741,1,FALSE,FALSE,3,TRUE,1,FALSE,100,"Swvu.Holding.","ACwvu.Holding.",#N/A,FALSE,FALSE,0.748031496062992,0.748031496062992,0.62992125984252,0.47244094488189,2,"","",FALSE,FALSE,FALSE,FALSE,1,#N/A,1,1,"=R6C2:R55C16",FALSE,#N/A,#N/A,FALSE,FALSE,FALSE,9,65532,65532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Mktg." hidden="1">{TRUE,TRUE,-1.25,-15.5,604.5,342,FALSE,TRUE,TRUE,TRUE,0,1,#N/A,1,#N/A,5.37864077669903,16.1481481481481,1,FALSE,FALSE,3,TRUE,1,FALSE,100,"Swvu.Mktg.","ACwvu.Mktg.",#N/A,FALSE,FALSE,0.748031496062992,0.748031496062992,0.62992125984252,0.47244094488189,2,"","",FALSE,FALSE,FALSE,FALSE,1,#N/A,1,1,"=R6C2:R55C16",FALSE,#N/A,#N/A,FALSE,FALSE,FALSE,9,65532,65532,FALSE,FALSE,TRUE,TRUE,TRUE}</definedName>
    <definedName name="wvu.operations." hidden="1">{TRUE,TRUE,-1.25,-15.5,604.5,342,FALSE,TRUE,TRUE,TRUE,0,1,#N/A,1,#N/A,5.25242718446602,16.3703703703704,1,FALSE,FALSE,3,TRUE,1,FALSE,100,"Swvu.operations.","ACwvu.operations.",#N/A,FALSE,FALSE,0.748031496062992,0.748031496062992,0.62992125984252,0.47244094488189,2,"","",FALSE,FALSE,FALSE,FALSE,1,#N/A,1,1,"=R6C2:R55C16",FALSE,#N/A,#N/A,FALSE,FALSE,FALSE,9,65532,65532,FALSE,FALSE,TRUE,TRUE,TRUE}</definedName>
    <definedName name="wvu.Sarl." hidden="1">{TRUE,TRUE,-1.25,-15.5,604.5,342,FALSE,TRUE,TRUE,TRUE,0,1,#N/A,1,#N/A,5.25242718446602,16.0740740740741,1,FALSE,FALSE,3,TRUE,1,FALSE,100,"Swvu.Sarl.","ACwvu.Sarl.",#N/A,FALSE,FALSE,0.748031496062992,0.748031496062992,0.62992125984252,0.47244094488189,2,"","",FALSE,FALSE,FALSE,FALSE,1,#N/A,1,1,"=R6C2:R55C16",FALSE,#N/A,#N/A,FALSE,FALSE,FALSE,9,65532,65532,FALSE,FALSE,TRUE,TRUE,TRUE}</definedName>
    <definedName name="wvu.Shares." hidden="1">{TRUE,TRUE,-1.25,-15.5,604.5,342,FALSE,TRUE,TRUE,FALSE,0,13,#N/A,1,#N/A,9.40625,16.0740740740741,1,FALSE,FALSE,3,TRUE,1,FALSE,100,"Swvu.Shares.","ACwvu.Shares.",#N/A,FALSE,FALSE,0.748031496062992,0.748031496062992,0.62992125984252,0.47244094488189,2,"","",FALSE,FALSE,FALSE,FALSE,1,#N/A,1,1,"=R6C1:R55C16",FALSE,#N/A,#N/A,FALSE,FALSE,FALSE,9,65532,65532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" hidden="1">{TRUE,TRUE,-1.25,-15.5,604.5,342,FALSE,TRUE,TRUE,TRUE,0,1,#N/A,1,#N/A,5.25242718446602,16.3703703703704,1,FALSE,FALSE,3,TRUE,1,FALSE,100,"Swvu.operations.","ACwvu.operations.",#N/A,FALSE,FALSE,0.748031496062992,0.748031496062992,0.62992125984252,0.47244094488189,2,"","",FALSE,FALSE,FALSE,FALSE,1,#N/A,1,1,"=R6C2:R55C16",FALSE,#N/A,#N/A,FALSE,FALSE,FALSE,9,65532,65532,FALSE,FALSE,TRUE,TRUE,TRUE}</definedName>
    <definedName name="wwww" hidden="1">{#N/A,#N/A,FALSE,"earnings"}</definedName>
    <definedName name="wwwwwww" hidden="1">{#N/A,#N/A,FALSE,"earnings"}</definedName>
    <definedName name="wwwwwwww" hidden="1">{#N/A,#N/A,FALSE,"earnings"}</definedName>
    <definedName name="wxxxx" hidden="1">{#N/A,#N/A,FALSE,"earnings"}</definedName>
    <definedName name="x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rate">[11]Control!$E$16</definedName>
    <definedName name="xref_elist_to_geographical_dimensions">#REF!</definedName>
    <definedName name="xx" hidden="1">{#N/A,#N/A,FALSE,"earnings"}</definedName>
    <definedName name="xxxxx" hidden="1">{#N/A,#N/A,FALSE,"Calc";#N/A,#N/A,FALSE,"Sensitivity";#N/A,#N/A,FALSE,"LT Earn.Dil.";#N/A,#N/A,FALSE,"Dil. AVP"}</definedName>
    <definedName name="xxxxxxx" hidden="1">{#N/A,#N/A,FALSE,"earnings"}</definedName>
    <definedName name="Xyz">#REF!</definedName>
    <definedName name="y" hidden="1">{#N/A,#N/A,FALSE,"earnings"}</definedName>
    <definedName name="year">'[5]LBO Model'!#REF!</definedName>
    <definedName name="year08">#REF!</definedName>
    <definedName name="year09">#REF!</definedName>
    <definedName name="year10">#REF!</definedName>
    <definedName name="year11">#REF!</definedName>
    <definedName name="year12">#REF!</definedName>
    <definedName name="year13">#REF!</definedName>
    <definedName name="Yield">[6]Vendor_Supply!$AR$1:$AR$65536</definedName>
    <definedName name="YREND">[29]INPUTSCREEN!$F$10</definedName>
    <definedName name="yrgj" hidden="1">{#N/A,#N/A,TRUE,"Comps";#N/A,#N/A,TRUE,"Notes";#N/A,#N/A,TRUE,"Trend Analysis 97";#N/A,#N/A,TRUE,"Trend Analysis 98"}</definedName>
    <definedName name="yy" hidden="1">{"consolidated",#N/A,FALSE,"Sheet1";"cms",#N/A,FALSE,"Sheet1";"fse",#N/A,FALSE,"Sheet1"}</definedName>
    <definedName name="yyjj.l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yyyyy" hidden="1">{#N/A,#N/A,FALSE,"earnings"}</definedName>
    <definedName name="z">[31]Model!$S$6</definedName>
    <definedName name="Z_870DA93B_C7EC_11D1_935A_00A0C95F1362_.wvu.PrintArea" hidden="1">#REF!</definedName>
    <definedName name="zaq" hidden="1">{#N/A,#N/A,FALSE,"Calc";#N/A,#N/A,FALSE,"Sensitivity";#N/A,#N/A,FALSE,"LT Earn.Dil.";#N/A,#N/A,FALSE,"Dil. AVP"}</definedName>
    <definedName name="zdfasdf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zer" hidden="1">{#N/A,#N/A,FALSE,"Calc";#N/A,#N/A,FALSE,"Sensitivity";#N/A,#N/A,FALSE,"LT Earn.Dil.";#N/A,#N/A,FALSE,"Dil. AVP"}</definedName>
    <definedName name="ZZEZZ" hidden="1">{"Conso",#N/A,FALSE,"JUMP";"France",#N/A,FALSE,"JUMP";"International",#N/A,FALSE,"JUMP";"Belgique",#N/A,FALSE,"JUMP";"PaysBas",#N/A,FALSE,"JUMP";"RU",#N/A,FALSE,"JUMP";"Espagne",#N/A,FALSE,"JUMP";"Italie",#N/A,FALSE,"JUMP";"Portugal",#N/A,FALSE,"JUMP";"Allemagne",#N/A,FALSE,"JUMP";"Japon",#N/A,FALSE,"JUMP";"AAA",#N/A,FALSE,"JUMP";"Marketing",#N/A,FALSE,"JUMP";"Production",#N/A,FALSE,"JUMP";"Distribution",#N/A,FALSE,"JUMP";"Recherche",#N/A,FALSE,"JUMP";"JUMP",#N/A,FALSE,"JUMP"}</definedName>
    <definedName name="ZZZZxxxxxZZZZZ" hidden="1">{"Print Summary",#N/A,FALSE,"Summary Analysis";"Print FCF",#N/A,FALSE,"FCF Analysis";"Print Sensitivity",#N/A,FALSE,"Sensitivity Analysis";"Print NAV",#N/A,FALSE,"NAV Analysis";"Print Credit",#N/A,FALSE,"Credit Analysis"}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6" l="1"/>
  <c r="G21" i="6"/>
  <c r="F22" i="6"/>
  <c r="G22" i="6"/>
  <c r="I57" i="1"/>
  <c r="J57" i="1"/>
  <c r="K57" i="1"/>
  <c r="L57" i="1"/>
  <c r="M57" i="1"/>
  <c r="N57" i="1"/>
  <c r="O57" i="1"/>
  <c r="P57" i="1"/>
  <c r="Q57" i="1"/>
  <c r="G58" i="1"/>
  <c r="H58" i="1"/>
  <c r="I58" i="1"/>
  <c r="J58" i="1"/>
  <c r="K58" i="1"/>
  <c r="L58" i="1"/>
  <c r="M58" i="1"/>
  <c r="G59" i="1"/>
  <c r="H59" i="1"/>
  <c r="I59" i="1"/>
  <c r="J59" i="1"/>
  <c r="G60" i="1"/>
  <c r="H60" i="1"/>
  <c r="I60" i="1"/>
  <c r="J60" i="1"/>
  <c r="K60" i="1"/>
  <c r="L60" i="1"/>
  <c r="M60" i="1"/>
  <c r="N60" i="1"/>
  <c r="O60" i="1"/>
  <c r="P60" i="1"/>
  <c r="Q60" i="1"/>
  <c r="F60" i="1"/>
  <c r="F59" i="1"/>
  <c r="F58" i="1"/>
  <c r="E13" i="15"/>
  <c r="E14" i="15"/>
  <c r="I67" i="6"/>
  <c r="J67" i="6"/>
  <c r="K67" i="6"/>
  <c r="L67" i="6"/>
  <c r="H67" i="6"/>
  <c r="H66" i="6"/>
  <c r="I66" i="6"/>
  <c r="J66" i="6"/>
  <c r="K66" i="6"/>
  <c r="L66" i="6"/>
  <c r="I9" i="6"/>
  <c r="J9" i="6"/>
  <c r="K9" i="6"/>
  <c r="L9" i="6"/>
  <c r="H9" i="6"/>
  <c r="C37" i="6"/>
  <c r="C35" i="6"/>
  <c r="F13" i="1"/>
  <c r="I11" i="6" l="1"/>
  <c r="H11" i="6"/>
  <c r="H7" i="6"/>
  <c r="I7" i="6"/>
  <c r="H8" i="6"/>
  <c r="S27" i="14"/>
  <c r="S17" i="14"/>
  <c r="I8" i="6" l="1"/>
  <c r="E8" i="2"/>
  <c r="D8" i="2"/>
  <c r="F8" i="1"/>
  <c r="G8" i="1" s="1"/>
  <c r="H4" i="6"/>
  <c r="H29" i="6" s="1"/>
  <c r="F56" i="1" s="1"/>
  <c r="H43" i="6" l="1"/>
  <c r="F57" i="1" s="1"/>
  <c r="H89" i="6"/>
  <c r="C19" i="15"/>
  <c r="D19" i="15"/>
  <c r="E19" i="15"/>
  <c r="D20" i="15"/>
  <c r="E20" i="15"/>
  <c r="C21" i="15"/>
  <c r="C75" i="3" s="1"/>
  <c r="D21" i="15"/>
  <c r="D75" i="3" s="1"/>
  <c r="C22" i="15"/>
  <c r="C77" i="3" s="1"/>
  <c r="D22" i="15"/>
  <c r="D77" i="3" s="1"/>
  <c r="D23" i="15"/>
  <c r="D24" i="15"/>
  <c r="D25" i="15"/>
  <c r="E32" i="15"/>
  <c r="E230" i="3" s="1"/>
  <c r="D32" i="15"/>
  <c r="D230" i="3" s="1"/>
  <c r="C32" i="15"/>
  <c r="C230" i="3" s="1"/>
  <c r="E30" i="15"/>
  <c r="E228" i="3" s="1"/>
  <c r="D30" i="15"/>
  <c r="D31" i="15" s="1"/>
  <c r="C30" i="15"/>
  <c r="E22" i="15"/>
  <c r="E77" i="3" s="1"/>
  <c r="E21" i="15"/>
  <c r="E75" i="3" s="1"/>
  <c r="D13" i="15"/>
  <c r="D12" i="3" s="1"/>
  <c r="E12" i="3"/>
  <c r="C13" i="15"/>
  <c r="C12" i="3" s="1"/>
  <c r="H53" i="1"/>
  <c r="J53" i="1"/>
  <c r="N53" i="1"/>
  <c r="F53" i="1"/>
  <c r="C62" i="1"/>
  <c r="C61" i="1"/>
  <c r="C42" i="1"/>
  <c r="C233" i="3"/>
  <c r="D233" i="3"/>
  <c r="E233" i="3"/>
  <c r="E25" i="15"/>
  <c r="C222" i="3"/>
  <c r="C160" i="3"/>
  <c r="E24" i="15"/>
  <c r="C157" i="3"/>
  <c r="E23" i="15"/>
  <c r="D76" i="3"/>
  <c r="E76" i="3"/>
  <c r="C76" i="3"/>
  <c r="D11" i="3"/>
  <c r="E11" i="3"/>
  <c r="C11" i="3"/>
  <c r="D14" i="15"/>
  <c r="E14" i="3"/>
  <c r="C8" i="3"/>
  <c r="D74" i="3"/>
  <c r="C5" i="15"/>
  <c r="AD76" i="1"/>
  <c r="AD75" i="1"/>
  <c r="AD74" i="1"/>
  <c r="AD73" i="1"/>
  <c r="AD77" i="1"/>
  <c r="AD68" i="1"/>
  <c r="AD69" i="1"/>
  <c r="AD70" i="1"/>
  <c r="AD67" i="1"/>
  <c r="R74" i="1"/>
  <c r="R75" i="1"/>
  <c r="R76" i="1"/>
  <c r="R77" i="1"/>
  <c r="R73" i="1"/>
  <c r="R68" i="1"/>
  <c r="R69" i="1"/>
  <c r="R70" i="1"/>
  <c r="R67" i="1"/>
  <c r="F77" i="1"/>
  <c r="F76" i="1"/>
  <c r="F75" i="1"/>
  <c r="F74" i="1"/>
  <c r="F73" i="1"/>
  <c r="F67" i="1"/>
  <c r="F68" i="1"/>
  <c r="F69" i="1"/>
  <c r="F70" i="1"/>
  <c r="C72" i="1"/>
  <c r="D72" i="1"/>
  <c r="E72" i="1"/>
  <c r="C73" i="1"/>
  <c r="C74" i="1"/>
  <c r="C75" i="1"/>
  <c r="C76" i="1"/>
  <c r="C77" i="1"/>
  <c r="C67" i="1"/>
  <c r="C68" i="1"/>
  <c r="C69" i="1"/>
  <c r="C70" i="1"/>
  <c r="D44" i="15"/>
  <c r="E44" i="15" s="1"/>
  <c r="D45" i="15"/>
  <c r="E45" i="15"/>
  <c r="D46" i="15"/>
  <c r="E46" i="15" s="1"/>
  <c r="D47" i="15"/>
  <c r="E47" i="15"/>
  <c r="D48" i="15"/>
  <c r="E48" i="15" s="1"/>
  <c r="D49" i="15"/>
  <c r="E49" i="15"/>
  <c r="D50" i="15"/>
  <c r="E50" i="15" s="1"/>
  <c r="D51" i="15"/>
  <c r="E51" i="15"/>
  <c r="E43" i="15"/>
  <c r="D43" i="15"/>
  <c r="D39" i="15"/>
  <c r="E39" i="15"/>
  <c r="D38" i="15"/>
  <c r="D71" i="1" s="1"/>
  <c r="C66" i="1"/>
  <c r="E14" i="6"/>
  <c r="F37" i="6"/>
  <c r="G37" i="6" s="1"/>
  <c r="E36" i="15"/>
  <c r="D36" i="15"/>
  <c r="C36" i="15"/>
  <c r="E29" i="15"/>
  <c r="D29" i="15"/>
  <c r="C29" i="15"/>
  <c r="C38" i="15"/>
  <c r="C71" i="1" s="1"/>
  <c r="I5" i="6"/>
  <c r="F86" i="6" l="1"/>
  <c r="G86" i="6" s="1"/>
  <c r="F58" i="6"/>
  <c r="G58" i="6" s="1"/>
  <c r="F57" i="6"/>
  <c r="G57" i="6" s="1"/>
  <c r="F53" i="6"/>
  <c r="G53" i="6" s="1"/>
  <c r="F35" i="6"/>
  <c r="G35" i="6" s="1"/>
  <c r="F76" i="6"/>
  <c r="G76" i="6" s="1"/>
  <c r="J5" i="6"/>
  <c r="I4" i="6"/>
  <c r="F66" i="6"/>
  <c r="G66" i="6" s="1"/>
  <c r="F70" i="6"/>
  <c r="G70" i="6" s="1"/>
  <c r="F36" i="6"/>
  <c r="G36" i="6" s="1"/>
  <c r="F71" i="6"/>
  <c r="G71" i="6" s="1"/>
  <c r="F39" i="6"/>
  <c r="G39" i="6" s="1"/>
  <c r="F50" i="6"/>
  <c r="G50" i="6" s="1"/>
  <c r="F55" i="6"/>
  <c r="G55" i="6" s="1"/>
  <c r="F67" i="6"/>
  <c r="G67" i="6" s="1"/>
  <c r="F78" i="6"/>
  <c r="G78" i="6" s="1"/>
  <c r="F74" i="6"/>
  <c r="G74" i="6" s="1"/>
  <c r="F40" i="6"/>
  <c r="G40" i="6" s="1"/>
  <c r="F56" i="6"/>
  <c r="G56" i="6" s="1"/>
  <c r="F75" i="6"/>
  <c r="G75" i="6" s="1"/>
  <c r="F20" i="6"/>
  <c r="G20" i="6" s="1"/>
  <c r="F38" i="6"/>
  <c r="G38" i="6" s="1"/>
  <c r="F52" i="6"/>
  <c r="G52" i="6" s="1"/>
  <c r="F54" i="6"/>
  <c r="G54" i="6" s="1"/>
  <c r="F68" i="6"/>
  <c r="G68" i="6" s="1"/>
  <c r="F77" i="6"/>
  <c r="G77" i="6" s="1"/>
  <c r="F73" i="6"/>
  <c r="G73" i="6" s="1"/>
  <c r="D228" i="3"/>
  <c r="C31" i="15"/>
  <c r="E31" i="15"/>
  <c r="C228" i="3"/>
  <c r="E38" i="15"/>
  <c r="E71" i="1" s="1"/>
  <c r="F85" i="6"/>
  <c r="G85" i="6" s="1"/>
  <c r="F88" i="6"/>
  <c r="G88" i="6" s="1"/>
  <c r="F72" i="6"/>
  <c r="G72" i="6" s="1"/>
  <c r="F87" i="6"/>
  <c r="G87" i="6" s="1"/>
  <c r="S29" i="14"/>
  <c r="A1" i="15"/>
  <c r="D33" i="15"/>
  <c r="E33" i="15" s="1"/>
  <c r="K5" i="6" l="1"/>
  <c r="J4" i="6"/>
  <c r="D229" i="3"/>
  <c r="E229" i="3"/>
  <c r="C229" i="3"/>
  <c r="D143" i="3"/>
  <c r="D218" i="3" s="1"/>
  <c r="E143" i="3"/>
  <c r="E218" i="3" s="1"/>
  <c r="E25" i="7"/>
  <c r="C7" i="3"/>
  <c r="L5" i="6" l="1"/>
  <c r="K4" i="6"/>
  <c r="B1" i="2"/>
  <c r="B1" i="4" s="1"/>
  <c r="B1" i="1" s="1"/>
  <c r="B1" i="3" s="1"/>
  <c r="B1" i="7" s="1"/>
  <c r="B1" i="6" s="1"/>
  <c r="B1" i="14" s="1"/>
  <c r="I39" i="6"/>
  <c r="M5" i="6" l="1"/>
  <c r="L4" i="6"/>
  <c r="S19" i="14"/>
  <c r="Q14" i="14"/>
  <c r="Q13" i="14"/>
  <c r="K21" i="14"/>
  <c r="K17" i="14"/>
  <c r="I21" i="14"/>
  <c r="I17" i="14"/>
  <c r="O14" i="14"/>
  <c r="O13" i="14"/>
  <c r="S14" i="14"/>
  <c r="S13" i="14"/>
  <c r="S15" i="14" s="1"/>
  <c r="E83" i="2"/>
  <c r="E85" i="2"/>
  <c r="L89" i="6" l="1"/>
  <c r="N5" i="6"/>
  <c r="M4" i="6"/>
  <c r="Q15" i="14"/>
  <c r="B46" i="2"/>
  <c r="O5" i="6" l="1"/>
  <c r="N4" i="6"/>
  <c r="E38" i="2"/>
  <c r="P5" i="6" l="1"/>
  <c r="O4" i="6"/>
  <c r="O24" i="14"/>
  <c r="O23" i="14"/>
  <c r="Q5" i="6" l="1"/>
  <c r="P4" i="6"/>
  <c r="E51" i="7"/>
  <c r="E53" i="7"/>
  <c r="E52" i="7"/>
  <c r="E49" i="7"/>
  <c r="D52" i="7"/>
  <c r="A80" i="7"/>
  <c r="A81" i="7" s="1"/>
  <c r="A82" i="7" s="1"/>
  <c r="A83" i="7" s="1"/>
  <c r="A84" i="7" s="1"/>
  <c r="A85" i="7" s="1"/>
  <c r="A86" i="7" s="1"/>
  <c r="A87" i="7" s="1"/>
  <c r="A88" i="7" s="1"/>
  <c r="A79" i="7"/>
  <c r="E80" i="7"/>
  <c r="F80" i="7" s="1"/>
  <c r="C89" i="7"/>
  <c r="D89" i="7"/>
  <c r="F88" i="7"/>
  <c r="L56" i="7"/>
  <c r="R5" i="6" l="1"/>
  <c r="Q4" i="6"/>
  <c r="E70" i="7"/>
  <c r="Q39" i="6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G39" i="6" s="1"/>
  <c r="AH39" i="6" s="1"/>
  <c r="AI39" i="6" s="1"/>
  <c r="AJ39" i="6" s="1"/>
  <c r="AK39" i="6" s="1"/>
  <c r="AL39" i="6" s="1"/>
  <c r="AM39" i="6" s="1"/>
  <c r="AN39" i="6" s="1"/>
  <c r="AO39" i="6" s="1"/>
  <c r="AP39" i="6" s="1"/>
  <c r="AQ39" i="6" s="1"/>
  <c r="M39" i="6"/>
  <c r="N39" i="6" s="1"/>
  <c r="O39" i="6" s="1"/>
  <c r="J39" i="6"/>
  <c r="K39" i="6" s="1"/>
  <c r="S5" i="6" l="1"/>
  <c r="R4" i="6"/>
  <c r="M74" i="6"/>
  <c r="N74" i="6" s="1"/>
  <c r="O74" i="6" s="1"/>
  <c r="I60" i="6" l="1"/>
  <c r="T5" i="6"/>
  <c r="S4" i="6"/>
  <c r="B61" i="1"/>
  <c r="B62" i="1"/>
  <c r="G74" i="1"/>
  <c r="H74" i="1" s="1"/>
  <c r="B63" i="4"/>
  <c r="U5" i="6" l="1"/>
  <c r="T4" i="6"/>
  <c r="I74" i="1"/>
  <c r="J74" i="1" s="1"/>
  <c r="K74" i="1" s="1"/>
  <c r="L74" i="1" s="1"/>
  <c r="F63" i="4"/>
  <c r="B52" i="3"/>
  <c r="B120" i="3" s="1"/>
  <c r="B195" i="3" s="1"/>
  <c r="C54" i="3"/>
  <c r="D54" i="3"/>
  <c r="E54" i="3"/>
  <c r="E122" i="3" s="1"/>
  <c r="E197" i="3" s="1"/>
  <c r="C55" i="3"/>
  <c r="C123" i="3" s="1"/>
  <c r="C198" i="3" s="1"/>
  <c r="D55" i="3"/>
  <c r="F55" i="3" s="1"/>
  <c r="E55" i="3"/>
  <c r="E123" i="3" s="1"/>
  <c r="E198" i="3" s="1"/>
  <c r="C56" i="3"/>
  <c r="C124" i="3" s="1"/>
  <c r="C199" i="3" s="1"/>
  <c r="D56" i="3"/>
  <c r="E56" i="3"/>
  <c r="E124" i="3" s="1"/>
  <c r="E199" i="3" s="1"/>
  <c r="C57" i="3"/>
  <c r="C125" i="3" s="1"/>
  <c r="C200" i="3" s="1"/>
  <c r="D57" i="3"/>
  <c r="E57" i="3"/>
  <c r="E125" i="3" s="1"/>
  <c r="E200" i="3" s="1"/>
  <c r="C58" i="3"/>
  <c r="C126" i="3" s="1"/>
  <c r="C201" i="3" s="1"/>
  <c r="D58" i="3"/>
  <c r="E58" i="3"/>
  <c r="E126" i="3" s="1"/>
  <c r="E201" i="3" s="1"/>
  <c r="C59" i="3"/>
  <c r="C127" i="3" s="1"/>
  <c r="C202" i="3" s="1"/>
  <c r="D59" i="3"/>
  <c r="E59" i="3"/>
  <c r="E127" i="3" s="1"/>
  <c r="E202" i="3" s="1"/>
  <c r="C60" i="3"/>
  <c r="C128" i="3" s="1"/>
  <c r="C203" i="3" s="1"/>
  <c r="D60" i="3"/>
  <c r="E60" i="3"/>
  <c r="E128" i="3" s="1"/>
  <c r="E203" i="3" s="1"/>
  <c r="C61" i="3"/>
  <c r="C129" i="3" s="1"/>
  <c r="C204" i="3" s="1"/>
  <c r="D61" i="3"/>
  <c r="E61" i="3"/>
  <c r="E129" i="3" s="1"/>
  <c r="E204" i="3" s="1"/>
  <c r="C62" i="3"/>
  <c r="C130" i="3" s="1"/>
  <c r="C205" i="3" s="1"/>
  <c r="D62" i="3"/>
  <c r="E62" i="3"/>
  <c r="E130" i="3" s="1"/>
  <c r="E205" i="3" s="1"/>
  <c r="C63" i="3"/>
  <c r="C131" i="3" s="1"/>
  <c r="C206" i="3" s="1"/>
  <c r="D63" i="3"/>
  <c r="E63" i="3"/>
  <c r="E131" i="3" s="1"/>
  <c r="E206" i="3" s="1"/>
  <c r="C64" i="3"/>
  <c r="C132" i="3" s="1"/>
  <c r="C207" i="3" s="1"/>
  <c r="D64" i="3"/>
  <c r="E64" i="3"/>
  <c r="E132" i="3" s="1"/>
  <c r="E207" i="3" s="1"/>
  <c r="C65" i="3"/>
  <c r="C133" i="3" s="1"/>
  <c r="C208" i="3" s="1"/>
  <c r="D65" i="3"/>
  <c r="E65" i="3"/>
  <c r="E133" i="3" s="1"/>
  <c r="E208" i="3" s="1"/>
  <c r="C66" i="3"/>
  <c r="C134" i="3" s="1"/>
  <c r="C209" i="3" s="1"/>
  <c r="D66" i="3"/>
  <c r="E66" i="3"/>
  <c r="E134" i="3" s="1"/>
  <c r="E209" i="3" s="1"/>
  <c r="C67" i="3"/>
  <c r="C135" i="3" s="1"/>
  <c r="C210" i="3" s="1"/>
  <c r="D67" i="3"/>
  <c r="F67" i="3" s="1"/>
  <c r="E67" i="3"/>
  <c r="E135" i="3" s="1"/>
  <c r="E210" i="3" s="1"/>
  <c r="C68" i="3"/>
  <c r="C136" i="3" s="1"/>
  <c r="C211" i="3" s="1"/>
  <c r="D68" i="3"/>
  <c r="F68" i="3" s="1"/>
  <c r="E68" i="3"/>
  <c r="E136" i="3" s="1"/>
  <c r="E211" i="3" s="1"/>
  <c r="C69" i="3"/>
  <c r="C137" i="3" s="1"/>
  <c r="C212" i="3" s="1"/>
  <c r="D69" i="3"/>
  <c r="E69" i="3"/>
  <c r="E137" i="3" s="1"/>
  <c r="E212" i="3" s="1"/>
  <c r="C70" i="3"/>
  <c r="C138" i="3" s="1"/>
  <c r="C213" i="3" s="1"/>
  <c r="D70" i="3"/>
  <c r="E70" i="3"/>
  <c r="E138" i="3" s="1"/>
  <c r="E213" i="3" s="1"/>
  <c r="C71" i="3"/>
  <c r="C139" i="3" s="1"/>
  <c r="C214" i="3" s="1"/>
  <c r="D71" i="3"/>
  <c r="E71" i="3"/>
  <c r="E139" i="3" s="1"/>
  <c r="E214" i="3" s="1"/>
  <c r="C72" i="3"/>
  <c r="C140" i="3" s="1"/>
  <c r="C215" i="3" s="1"/>
  <c r="D72" i="3"/>
  <c r="E72" i="3"/>
  <c r="E140" i="3" s="1"/>
  <c r="E215" i="3" s="1"/>
  <c r="D53" i="3"/>
  <c r="C53" i="3"/>
  <c r="C121" i="3" s="1"/>
  <c r="C196" i="3" s="1"/>
  <c r="E53" i="3"/>
  <c r="E121" i="3" s="1"/>
  <c r="E196" i="3" s="1"/>
  <c r="B71" i="3"/>
  <c r="B139" i="3" s="1"/>
  <c r="B214" i="3" s="1"/>
  <c r="B72" i="3"/>
  <c r="B140" i="3" s="1"/>
  <c r="B215" i="3" s="1"/>
  <c r="B70" i="3"/>
  <c r="B138" i="3" s="1"/>
  <c r="B213" i="3" s="1"/>
  <c r="B56" i="3"/>
  <c r="B124" i="3" s="1"/>
  <c r="B199" i="3" s="1"/>
  <c r="B57" i="3"/>
  <c r="B125" i="3" s="1"/>
  <c r="B200" i="3" s="1"/>
  <c r="B58" i="3"/>
  <c r="B126" i="3" s="1"/>
  <c r="B201" i="3" s="1"/>
  <c r="B59" i="3"/>
  <c r="B127" i="3" s="1"/>
  <c r="B202" i="3" s="1"/>
  <c r="B60" i="3"/>
  <c r="B128" i="3" s="1"/>
  <c r="B203" i="3" s="1"/>
  <c r="B61" i="3"/>
  <c r="B129" i="3" s="1"/>
  <c r="B204" i="3" s="1"/>
  <c r="B62" i="3"/>
  <c r="B130" i="3" s="1"/>
  <c r="B205" i="3" s="1"/>
  <c r="B63" i="3"/>
  <c r="B131" i="3" s="1"/>
  <c r="B206" i="3" s="1"/>
  <c r="B64" i="3"/>
  <c r="B132" i="3" s="1"/>
  <c r="B207" i="3" s="1"/>
  <c r="B65" i="3"/>
  <c r="B133" i="3" s="1"/>
  <c r="B208" i="3" s="1"/>
  <c r="B66" i="3"/>
  <c r="B134" i="3" s="1"/>
  <c r="B209" i="3" s="1"/>
  <c r="B67" i="3"/>
  <c r="B135" i="3" s="1"/>
  <c r="B210" i="3" s="1"/>
  <c r="B68" i="3"/>
  <c r="B136" i="3" s="1"/>
  <c r="B211" i="3" s="1"/>
  <c r="B69" i="3"/>
  <c r="B137" i="3" s="1"/>
  <c r="B212" i="3" s="1"/>
  <c r="B53" i="3"/>
  <c r="B121" i="3" s="1"/>
  <c r="B196" i="3" s="1"/>
  <c r="B54" i="3"/>
  <c r="B122" i="3" s="1"/>
  <c r="B197" i="3" s="1"/>
  <c r="B55" i="3"/>
  <c r="B123" i="3" s="1"/>
  <c r="B198" i="3" s="1"/>
  <c r="C50" i="3"/>
  <c r="C118" i="3" s="1"/>
  <c r="C193" i="3" s="1"/>
  <c r="D50" i="3"/>
  <c r="D118" i="3" s="1"/>
  <c r="D193" i="3" s="1"/>
  <c r="E50" i="3"/>
  <c r="E118" i="3" s="1"/>
  <c r="E193" i="3" s="1"/>
  <c r="C51" i="3"/>
  <c r="C119" i="3" s="1"/>
  <c r="C194" i="3" s="1"/>
  <c r="D51" i="3"/>
  <c r="F51" i="3" s="1"/>
  <c r="E51" i="3"/>
  <c r="E119" i="3" s="1"/>
  <c r="E194" i="3" s="1"/>
  <c r="F56" i="7"/>
  <c r="F55" i="7"/>
  <c r="F52" i="7"/>
  <c r="F51" i="7"/>
  <c r="F53" i="7"/>
  <c r="F54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E43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50" i="3" s="1"/>
  <c r="B118" i="3" s="1"/>
  <c r="B193" i="3" s="1"/>
  <c r="B42" i="7"/>
  <c r="B51" i="3" s="1"/>
  <c r="B119" i="3" s="1"/>
  <c r="B27" i="7"/>
  <c r="F48" i="7"/>
  <c r="F47" i="7"/>
  <c r="F46" i="7"/>
  <c r="A46" i="7"/>
  <c r="A47" i="7" s="1"/>
  <c r="A48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F45" i="7"/>
  <c r="E12" i="9"/>
  <c r="V5" i="6" l="1"/>
  <c r="U4" i="6"/>
  <c r="G63" i="4"/>
  <c r="M74" i="1"/>
  <c r="N74" i="1" s="1"/>
  <c r="O74" i="1" s="1"/>
  <c r="B194" i="3"/>
  <c r="D139" i="3"/>
  <c r="D123" i="3"/>
  <c r="D198" i="3" s="1"/>
  <c r="D140" i="3"/>
  <c r="D138" i="3"/>
  <c r="D213" i="3" s="1"/>
  <c r="D127" i="3"/>
  <c r="D202" i="3" s="1"/>
  <c r="F118" i="3"/>
  <c r="D137" i="3"/>
  <c r="D212" i="3" s="1"/>
  <c r="D122" i="3"/>
  <c r="D197" i="3" s="1"/>
  <c r="D126" i="3"/>
  <c r="D201" i="3" s="1"/>
  <c r="D129" i="3"/>
  <c r="D204" i="3" s="1"/>
  <c r="D133" i="3"/>
  <c r="D208" i="3" s="1"/>
  <c r="D124" i="3"/>
  <c r="C122" i="3"/>
  <c r="C197" i="3" s="1"/>
  <c r="D128" i="3"/>
  <c r="D203" i="3" s="1"/>
  <c r="D134" i="3"/>
  <c r="D209" i="3" s="1"/>
  <c r="D132" i="3"/>
  <c r="D207" i="3" s="1"/>
  <c r="F63" i="3"/>
  <c r="D131" i="3"/>
  <c r="D206" i="3" s="1"/>
  <c r="D130" i="3"/>
  <c r="D205" i="3" s="1"/>
  <c r="D125" i="3"/>
  <c r="D200" i="3" s="1"/>
  <c r="D121" i="3"/>
  <c r="D196" i="3" s="1"/>
  <c r="D136" i="3"/>
  <c r="D211" i="3" s="1"/>
  <c r="D135" i="3"/>
  <c r="D210" i="3" s="1"/>
  <c r="D119" i="3"/>
  <c r="D194" i="3" s="1"/>
  <c r="F60" i="3"/>
  <c r="F64" i="3"/>
  <c r="F61" i="3"/>
  <c r="F59" i="3"/>
  <c r="F54" i="3"/>
  <c r="F71" i="3"/>
  <c r="F70" i="3"/>
  <c r="F69" i="3"/>
  <c r="F56" i="3"/>
  <c r="F65" i="3"/>
  <c r="F72" i="3"/>
  <c r="F66" i="3"/>
  <c r="F62" i="3"/>
  <c r="F57" i="3"/>
  <c r="F58" i="3"/>
  <c r="F53" i="3"/>
  <c r="F50" i="3"/>
  <c r="D14" i="2"/>
  <c r="E14" i="2"/>
  <c r="G13" i="1"/>
  <c r="E74" i="2"/>
  <c r="G69" i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W5" i="6" l="1"/>
  <c r="V4" i="6"/>
  <c r="F126" i="3"/>
  <c r="H63" i="4"/>
  <c r="P74" i="1"/>
  <c r="Q74" i="1" s="1"/>
  <c r="I63" i="4"/>
  <c r="F140" i="3"/>
  <c r="D215" i="3"/>
  <c r="F139" i="3"/>
  <c r="D214" i="3"/>
  <c r="F124" i="3"/>
  <c r="D199" i="3"/>
  <c r="F123" i="3"/>
  <c r="F121" i="3"/>
  <c r="F131" i="3"/>
  <c r="F134" i="3"/>
  <c r="F122" i="3"/>
  <c r="F127" i="3"/>
  <c r="F136" i="3"/>
  <c r="F129" i="3"/>
  <c r="F125" i="3"/>
  <c r="F133" i="3"/>
  <c r="F119" i="3"/>
  <c r="F135" i="3"/>
  <c r="F130" i="3"/>
  <c r="F132" i="3"/>
  <c r="F128" i="3"/>
  <c r="F137" i="3"/>
  <c r="F138" i="3"/>
  <c r="G14" i="1"/>
  <c r="D74" i="2"/>
  <c r="X5" i="6" l="1"/>
  <c r="W4" i="6"/>
  <c r="F70" i="2"/>
  <c r="S74" i="1"/>
  <c r="T74" i="1" s="1"/>
  <c r="U74" i="1" s="1"/>
  <c r="J63" i="4"/>
  <c r="G73" i="1"/>
  <c r="H73" i="1" s="1"/>
  <c r="G58" i="4"/>
  <c r="H58" i="4"/>
  <c r="I58" i="4"/>
  <c r="B66" i="4"/>
  <c r="B73" i="2" s="1"/>
  <c r="B113" i="2" s="1"/>
  <c r="B56" i="4"/>
  <c r="B63" i="2" s="1"/>
  <c r="B104" i="2" s="1"/>
  <c r="B57" i="4"/>
  <c r="B64" i="2" s="1"/>
  <c r="B105" i="2" s="1"/>
  <c r="B58" i="4"/>
  <c r="B65" i="2" s="1"/>
  <c r="B106" i="2" s="1"/>
  <c r="B59" i="4"/>
  <c r="B66" i="2" s="1"/>
  <c r="B107" i="2" s="1"/>
  <c r="B60" i="4"/>
  <c r="B67" i="2" s="1"/>
  <c r="B108" i="2" s="1"/>
  <c r="B61" i="4"/>
  <c r="B62" i="4"/>
  <c r="B64" i="4"/>
  <c r="B71" i="2" s="1"/>
  <c r="B111" i="2" s="1"/>
  <c r="B65" i="4"/>
  <c r="B72" i="2" s="1"/>
  <c r="B112" i="2" s="1"/>
  <c r="Q88" i="6"/>
  <c r="M88" i="6"/>
  <c r="I88" i="6"/>
  <c r="I86" i="6"/>
  <c r="K85" i="6"/>
  <c r="M20" i="6"/>
  <c r="Q22" i="6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AM22" i="6" s="1"/>
  <c r="AN22" i="6" s="1"/>
  <c r="AO22" i="6" s="1"/>
  <c r="AP22" i="6" s="1"/>
  <c r="AQ22" i="6" s="1"/>
  <c r="O70" i="6"/>
  <c r="P70" i="6" s="1"/>
  <c r="Q70" i="6" s="1"/>
  <c r="R70" i="6" s="1"/>
  <c r="S70" i="6" s="1"/>
  <c r="T70" i="6" s="1"/>
  <c r="U70" i="6" s="1"/>
  <c r="V70" i="6" s="1"/>
  <c r="W70" i="6" s="1"/>
  <c r="X70" i="6" s="1"/>
  <c r="Y70" i="6" s="1"/>
  <c r="Z70" i="6" s="1"/>
  <c r="AA70" i="6" s="1"/>
  <c r="AB70" i="6" s="1"/>
  <c r="AC70" i="6" s="1"/>
  <c r="AD70" i="6" s="1"/>
  <c r="AE70" i="6" s="1"/>
  <c r="AF70" i="6" s="1"/>
  <c r="AG70" i="6" s="1"/>
  <c r="AH70" i="6" s="1"/>
  <c r="AI70" i="6" s="1"/>
  <c r="AJ70" i="6" s="1"/>
  <c r="AK70" i="6" s="1"/>
  <c r="AL70" i="6" s="1"/>
  <c r="AM70" i="6" s="1"/>
  <c r="AN70" i="6" s="1"/>
  <c r="AO70" i="6" s="1"/>
  <c r="AP70" i="6" s="1"/>
  <c r="AQ70" i="6" s="1"/>
  <c r="M71" i="6"/>
  <c r="N71" i="6" s="1"/>
  <c r="O71" i="6" s="1"/>
  <c r="P71" i="6" s="1"/>
  <c r="Q71" i="6" s="1"/>
  <c r="R71" i="6" s="1"/>
  <c r="S71" i="6" s="1"/>
  <c r="T71" i="6" s="1"/>
  <c r="U71" i="6" s="1"/>
  <c r="V71" i="6" s="1"/>
  <c r="W71" i="6" s="1"/>
  <c r="X71" i="6" s="1"/>
  <c r="Y71" i="6" s="1"/>
  <c r="Z71" i="6" s="1"/>
  <c r="AA71" i="6" s="1"/>
  <c r="AB71" i="6" s="1"/>
  <c r="AC71" i="6" s="1"/>
  <c r="AD71" i="6" s="1"/>
  <c r="AE71" i="6" s="1"/>
  <c r="AF71" i="6" s="1"/>
  <c r="AG71" i="6" s="1"/>
  <c r="AH71" i="6" s="1"/>
  <c r="AI71" i="6" s="1"/>
  <c r="AJ71" i="6" s="1"/>
  <c r="AK71" i="6" s="1"/>
  <c r="AL71" i="6" s="1"/>
  <c r="AM71" i="6" s="1"/>
  <c r="AN71" i="6" s="1"/>
  <c r="AO71" i="6" s="1"/>
  <c r="AP71" i="6" s="1"/>
  <c r="AQ71" i="6" s="1"/>
  <c r="I68" i="6"/>
  <c r="J68" i="6" s="1"/>
  <c r="K68" i="6" s="1"/>
  <c r="L68" i="6" s="1"/>
  <c r="I73" i="6"/>
  <c r="K73" i="6" s="1"/>
  <c r="M73" i="6" s="1"/>
  <c r="N73" i="6" s="1"/>
  <c r="O73" i="6" s="1"/>
  <c r="P73" i="6" s="1"/>
  <c r="Q73" i="6" s="1"/>
  <c r="R73" i="6" s="1"/>
  <c r="S73" i="6" s="1"/>
  <c r="T73" i="6" s="1"/>
  <c r="U73" i="6" s="1"/>
  <c r="V73" i="6" s="1"/>
  <c r="W73" i="6" s="1"/>
  <c r="X73" i="6" s="1"/>
  <c r="Y73" i="6" s="1"/>
  <c r="Z73" i="6" s="1"/>
  <c r="AA73" i="6" s="1"/>
  <c r="AB73" i="6" s="1"/>
  <c r="AC73" i="6" s="1"/>
  <c r="AD73" i="6" s="1"/>
  <c r="AE73" i="6" s="1"/>
  <c r="AF73" i="6" s="1"/>
  <c r="AG73" i="6" s="1"/>
  <c r="AH73" i="6" s="1"/>
  <c r="AI73" i="6" s="1"/>
  <c r="AJ73" i="6" s="1"/>
  <c r="AK73" i="6" s="1"/>
  <c r="AL73" i="6" s="1"/>
  <c r="AM73" i="6" s="1"/>
  <c r="AN73" i="6" s="1"/>
  <c r="AO73" i="6" s="1"/>
  <c r="AP73" i="6" s="1"/>
  <c r="AQ73" i="6" s="1"/>
  <c r="I74" i="6"/>
  <c r="I75" i="6"/>
  <c r="K75" i="6" s="1"/>
  <c r="L75" i="6" s="1"/>
  <c r="M75" i="6" s="1"/>
  <c r="N75" i="6" s="1"/>
  <c r="O75" i="6" s="1"/>
  <c r="P75" i="6" s="1"/>
  <c r="Q75" i="6" s="1"/>
  <c r="R75" i="6" s="1"/>
  <c r="S75" i="6" s="1"/>
  <c r="T75" i="6" s="1"/>
  <c r="U75" i="6" s="1"/>
  <c r="V75" i="6" s="1"/>
  <c r="W75" i="6" s="1"/>
  <c r="X75" i="6" s="1"/>
  <c r="Y75" i="6" s="1"/>
  <c r="Z75" i="6" s="1"/>
  <c r="AA75" i="6" s="1"/>
  <c r="AB75" i="6" s="1"/>
  <c r="AC75" i="6" s="1"/>
  <c r="AD75" i="6" s="1"/>
  <c r="AE75" i="6" s="1"/>
  <c r="AF75" i="6" s="1"/>
  <c r="AG75" i="6" s="1"/>
  <c r="AH75" i="6" s="1"/>
  <c r="AI75" i="6" s="1"/>
  <c r="AJ75" i="6" s="1"/>
  <c r="AK75" i="6" s="1"/>
  <c r="AL75" i="6" s="1"/>
  <c r="AM75" i="6" s="1"/>
  <c r="AN75" i="6" s="1"/>
  <c r="AO75" i="6" s="1"/>
  <c r="AP75" i="6" s="1"/>
  <c r="AQ75" i="6" s="1"/>
  <c r="I77" i="6"/>
  <c r="J77" i="6" s="1"/>
  <c r="K77" i="6" s="1"/>
  <c r="L77" i="6" s="1"/>
  <c r="M77" i="6" s="1"/>
  <c r="N77" i="6" s="1"/>
  <c r="O77" i="6" s="1"/>
  <c r="P77" i="6" s="1"/>
  <c r="Q77" i="6" s="1"/>
  <c r="R77" i="6" s="1"/>
  <c r="S77" i="6" s="1"/>
  <c r="T77" i="6" s="1"/>
  <c r="U77" i="6" s="1"/>
  <c r="V77" i="6" s="1"/>
  <c r="W77" i="6" s="1"/>
  <c r="X77" i="6" s="1"/>
  <c r="Y77" i="6" s="1"/>
  <c r="Z77" i="6" s="1"/>
  <c r="AA77" i="6" s="1"/>
  <c r="AB77" i="6" s="1"/>
  <c r="AC77" i="6" s="1"/>
  <c r="AD77" i="6" s="1"/>
  <c r="AE77" i="6" s="1"/>
  <c r="AF77" i="6" s="1"/>
  <c r="AG77" i="6" s="1"/>
  <c r="AH77" i="6" s="1"/>
  <c r="AI77" i="6" s="1"/>
  <c r="AJ77" i="6" s="1"/>
  <c r="AK77" i="6" s="1"/>
  <c r="AL77" i="6" s="1"/>
  <c r="AM77" i="6" s="1"/>
  <c r="AN77" i="6" s="1"/>
  <c r="AO77" i="6" s="1"/>
  <c r="AP77" i="6" s="1"/>
  <c r="AQ77" i="6" s="1"/>
  <c r="I78" i="6"/>
  <c r="K78" i="6" s="1"/>
  <c r="L78" i="6" s="1"/>
  <c r="M78" i="6" s="1"/>
  <c r="N78" i="6" s="1"/>
  <c r="O78" i="6" s="1"/>
  <c r="P78" i="6" s="1"/>
  <c r="Q78" i="6" s="1"/>
  <c r="R78" i="6" s="1"/>
  <c r="S78" i="6" s="1"/>
  <c r="T78" i="6" s="1"/>
  <c r="U78" i="6" s="1"/>
  <c r="V78" i="6" s="1"/>
  <c r="W78" i="6" s="1"/>
  <c r="X78" i="6" s="1"/>
  <c r="Y78" i="6" s="1"/>
  <c r="Z78" i="6" s="1"/>
  <c r="AA78" i="6" s="1"/>
  <c r="AB78" i="6" s="1"/>
  <c r="AC78" i="6" s="1"/>
  <c r="AD78" i="6" s="1"/>
  <c r="AE78" i="6" s="1"/>
  <c r="AF78" i="6" s="1"/>
  <c r="AG78" i="6" s="1"/>
  <c r="AH78" i="6" s="1"/>
  <c r="AI78" i="6" s="1"/>
  <c r="AJ78" i="6" s="1"/>
  <c r="AK78" i="6" s="1"/>
  <c r="AL78" i="6" s="1"/>
  <c r="AM78" i="6" s="1"/>
  <c r="AN78" i="6" s="1"/>
  <c r="AO78" i="6" s="1"/>
  <c r="AP78" i="6" s="1"/>
  <c r="AQ78" i="6" s="1"/>
  <c r="I72" i="6"/>
  <c r="K72" i="6" s="1"/>
  <c r="M72" i="6" s="1"/>
  <c r="N72" i="6" s="1"/>
  <c r="O72" i="6" s="1"/>
  <c r="P72" i="6" s="1"/>
  <c r="Q72" i="6" s="1"/>
  <c r="R72" i="6" s="1"/>
  <c r="S72" i="6" s="1"/>
  <c r="T72" i="6" s="1"/>
  <c r="U72" i="6" s="1"/>
  <c r="V72" i="6" s="1"/>
  <c r="W72" i="6" s="1"/>
  <c r="X72" i="6" s="1"/>
  <c r="Y72" i="6" s="1"/>
  <c r="Z72" i="6" s="1"/>
  <c r="AA72" i="6" s="1"/>
  <c r="AB72" i="6" s="1"/>
  <c r="AC72" i="6" s="1"/>
  <c r="AD72" i="6" s="1"/>
  <c r="AE72" i="6" s="1"/>
  <c r="AF72" i="6" s="1"/>
  <c r="AG72" i="6" s="1"/>
  <c r="AH72" i="6" s="1"/>
  <c r="AI72" i="6" s="1"/>
  <c r="AJ72" i="6" s="1"/>
  <c r="AK72" i="6" s="1"/>
  <c r="AL72" i="6" s="1"/>
  <c r="AM72" i="6" s="1"/>
  <c r="AN72" i="6" s="1"/>
  <c r="AO72" i="6" s="1"/>
  <c r="AP72" i="6" s="1"/>
  <c r="AQ72" i="6" s="1"/>
  <c r="K38" i="6"/>
  <c r="I36" i="6"/>
  <c r="I43" i="6" s="1"/>
  <c r="G57" i="1" s="1"/>
  <c r="E34" i="2"/>
  <c r="E48" i="2" s="1"/>
  <c r="D34" i="2"/>
  <c r="D48" i="2" s="1"/>
  <c r="E58" i="2"/>
  <c r="D58" i="2"/>
  <c r="D39" i="2"/>
  <c r="E39" i="2"/>
  <c r="D20" i="2"/>
  <c r="L38" i="6" l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X38" i="6" s="1"/>
  <c r="Y38" i="6" s="1"/>
  <c r="Z38" i="6" s="1"/>
  <c r="AA38" i="6" s="1"/>
  <c r="AB38" i="6" s="1"/>
  <c r="AC38" i="6" s="1"/>
  <c r="AD38" i="6" s="1"/>
  <c r="AE38" i="6" s="1"/>
  <c r="AF38" i="6" s="1"/>
  <c r="AG38" i="6" s="1"/>
  <c r="AH38" i="6" s="1"/>
  <c r="AI38" i="6" s="1"/>
  <c r="AJ38" i="6" s="1"/>
  <c r="AK38" i="6" s="1"/>
  <c r="AL38" i="6" s="1"/>
  <c r="AM38" i="6" s="1"/>
  <c r="AN38" i="6" s="1"/>
  <c r="AO38" i="6" s="1"/>
  <c r="AP38" i="6" s="1"/>
  <c r="AQ38" i="6" s="1"/>
  <c r="K43" i="6"/>
  <c r="N20" i="6"/>
  <c r="N88" i="6"/>
  <c r="K53" i="1"/>
  <c r="Y5" i="6"/>
  <c r="X4" i="6"/>
  <c r="J86" i="6"/>
  <c r="M85" i="6"/>
  <c r="R88" i="6"/>
  <c r="O53" i="1"/>
  <c r="M68" i="6"/>
  <c r="N68" i="6" s="1"/>
  <c r="O68" i="6" s="1"/>
  <c r="P68" i="6" s="1"/>
  <c r="Q68" i="6" s="1"/>
  <c r="R68" i="6" s="1"/>
  <c r="S68" i="6" s="1"/>
  <c r="T68" i="6" s="1"/>
  <c r="U68" i="6" s="1"/>
  <c r="L79" i="6"/>
  <c r="I29" i="6"/>
  <c r="G56" i="1" s="1"/>
  <c r="K88" i="6"/>
  <c r="I53" i="1" s="1"/>
  <c r="G53" i="1"/>
  <c r="L36" i="6"/>
  <c r="J36" i="6"/>
  <c r="J43" i="6" s="1"/>
  <c r="H57" i="1" s="1"/>
  <c r="P74" i="6"/>
  <c r="Q74" i="6" s="1"/>
  <c r="R74" i="6" s="1"/>
  <c r="S74" i="6" s="1"/>
  <c r="T74" i="6" s="1"/>
  <c r="U74" i="6" s="1"/>
  <c r="V74" i="6" s="1"/>
  <c r="W74" i="6" s="1"/>
  <c r="X74" i="6" s="1"/>
  <c r="Y74" i="6" s="1"/>
  <c r="Z74" i="6" s="1"/>
  <c r="AA74" i="6" s="1"/>
  <c r="AB74" i="6" s="1"/>
  <c r="AC74" i="6" s="1"/>
  <c r="AD74" i="6" s="1"/>
  <c r="AE74" i="6" s="1"/>
  <c r="AF74" i="6" s="1"/>
  <c r="AG74" i="6" s="1"/>
  <c r="AH74" i="6" s="1"/>
  <c r="AI74" i="6" s="1"/>
  <c r="AJ74" i="6" s="1"/>
  <c r="AK74" i="6" s="1"/>
  <c r="AL74" i="6" s="1"/>
  <c r="AM74" i="6" s="1"/>
  <c r="AN74" i="6" s="1"/>
  <c r="AO74" i="6" s="1"/>
  <c r="AP74" i="6" s="1"/>
  <c r="AQ74" i="6" s="1"/>
  <c r="J74" i="6"/>
  <c r="K74" i="6" s="1"/>
  <c r="V74" i="1"/>
  <c r="W74" i="1" s="1"/>
  <c r="X74" i="1" s="1"/>
  <c r="D89" i="2"/>
  <c r="E20" i="2"/>
  <c r="E89" i="2" s="1"/>
  <c r="I73" i="1"/>
  <c r="F62" i="4"/>
  <c r="E42" i="2"/>
  <c r="E78" i="2" s="1"/>
  <c r="D42" i="2"/>
  <c r="D59" i="2" s="1"/>
  <c r="N85" i="6" l="1"/>
  <c r="Z5" i="6"/>
  <c r="Y4" i="6"/>
  <c r="O20" i="6"/>
  <c r="M36" i="6"/>
  <c r="L43" i="6"/>
  <c r="J29" i="6"/>
  <c r="H56" i="1" s="1"/>
  <c r="S88" i="6"/>
  <c r="P53" i="1"/>
  <c r="K86" i="6"/>
  <c r="J89" i="6"/>
  <c r="O88" i="6"/>
  <c r="M53" i="1" s="1"/>
  <c r="L53" i="1"/>
  <c r="V68" i="6"/>
  <c r="K63" i="4"/>
  <c r="D100" i="2"/>
  <c r="D78" i="2"/>
  <c r="Y74" i="1"/>
  <c r="Z74" i="1" s="1"/>
  <c r="AA74" i="1" s="1"/>
  <c r="E111" i="2"/>
  <c r="E106" i="2"/>
  <c r="E96" i="2"/>
  <c r="E113" i="2"/>
  <c r="E98" i="2"/>
  <c r="E103" i="2"/>
  <c r="E93" i="2"/>
  <c r="E110" i="2"/>
  <c r="E105" i="2"/>
  <c r="E99" i="2"/>
  <c r="E95" i="2"/>
  <c r="E104" i="2"/>
  <c r="E94" i="2"/>
  <c r="E112" i="2"/>
  <c r="E107" i="2"/>
  <c r="E97" i="2"/>
  <c r="E108" i="2"/>
  <c r="E109" i="2"/>
  <c r="E114" i="2"/>
  <c r="E100" i="2"/>
  <c r="D110" i="2"/>
  <c r="D104" i="2"/>
  <c r="D97" i="2"/>
  <c r="D93" i="2"/>
  <c r="D99" i="2"/>
  <c r="D94" i="2"/>
  <c r="D113" i="2"/>
  <c r="D107" i="2"/>
  <c r="D103" i="2"/>
  <c r="D96" i="2"/>
  <c r="D112" i="2"/>
  <c r="D106" i="2"/>
  <c r="D95" i="2"/>
  <c r="D111" i="2"/>
  <c r="D105" i="2"/>
  <c r="D98" i="2"/>
  <c r="D108" i="2"/>
  <c r="D109" i="2"/>
  <c r="D114" i="2"/>
  <c r="E59" i="2"/>
  <c r="E75" i="2"/>
  <c r="D75" i="2"/>
  <c r="E43" i="2"/>
  <c r="J73" i="1"/>
  <c r="K73" i="1" s="1"/>
  <c r="L73" i="1" s="1"/>
  <c r="O85" i="6" l="1"/>
  <c r="N89" i="6"/>
  <c r="Q53" i="1"/>
  <c r="T88" i="6"/>
  <c r="N36" i="6"/>
  <c r="M43" i="6"/>
  <c r="AA5" i="6"/>
  <c r="Z4" i="6"/>
  <c r="K29" i="6"/>
  <c r="I56" i="1" s="1"/>
  <c r="P20" i="6"/>
  <c r="W68" i="6"/>
  <c r="L63" i="4"/>
  <c r="AB74" i="1"/>
  <c r="AC74" i="1" s="1"/>
  <c r="M73" i="1"/>
  <c r="N73" i="1" s="1"/>
  <c r="O73" i="1" s="1"/>
  <c r="G62" i="4"/>
  <c r="AB5" i="6" l="1"/>
  <c r="AA4" i="6"/>
  <c r="L29" i="6"/>
  <c r="J56" i="1" s="1"/>
  <c r="O36" i="6"/>
  <c r="N43" i="6"/>
  <c r="P85" i="6"/>
  <c r="Q20" i="6"/>
  <c r="U88" i="6"/>
  <c r="R53" i="1"/>
  <c r="M63" i="4"/>
  <c r="X68" i="6"/>
  <c r="H62" i="4"/>
  <c r="AE74" i="1"/>
  <c r="AF74" i="1" s="1"/>
  <c r="AG74" i="1" s="1"/>
  <c r="P73" i="1"/>
  <c r="Q73" i="1" s="1"/>
  <c r="I62" i="4"/>
  <c r="Q85" i="6" l="1"/>
  <c r="P89" i="6"/>
  <c r="M29" i="6"/>
  <c r="K56" i="1" s="1"/>
  <c r="V88" i="6"/>
  <c r="S53" i="1"/>
  <c r="R20" i="6"/>
  <c r="P36" i="6"/>
  <c r="O43" i="6"/>
  <c r="AC5" i="6"/>
  <c r="AB4" i="6"/>
  <c r="F69" i="2"/>
  <c r="N63" i="4"/>
  <c r="Y68" i="6"/>
  <c r="AH74" i="1"/>
  <c r="AI74" i="1" s="1"/>
  <c r="AJ74" i="1" s="1"/>
  <c r="S73" i="1"/>
  <c r="T73" i="1" s="1"/>
  <c r="U73" i="1" s="1"/>
  <c r="N29" i="6" l="1"/>
  <c r="L56" i="1" s="1"/>
  <c r="AD5" i="6"/>
  <c r="AC4" i="6"/>
  <c r="S20" i="6"/>
  <c r="Q36" i="6"/>
  <c r="P43" i="6"/>
  <c r="W88" i="6"/>
  <c r="T53" i="1"/>
  <c r="R85" i="6"/>
  <c r="Z68" i="6"/>
  <c r="S86" i="6"/>
  <c r="J62" i="4"/>
  <c r="O63" i="4"/>
  <c r="AK74" i="1"/>
  <c r="AL74" i="1" s="1"/>
  <c r="AM74" i="1" s="1"/>
  <c r="V73" i="1"/>
  <c r="W73" i="1" s="1"/>
  <c r="X73" i="1" s="1"/>
  <c r="X88" i="6" l="1"/>
  <c r="U53" i="1"/>
  <c r="O29" i="6"/>
  <c r="M56" i="1" s="1"/>
  <c r="S85" i="6"/>
  <c r="R36" i="6"/>
  <c r="Q43" i="6"/>
  <c r="AE5" i="6"/>
  <c r="AD4" i="6"/>
  <c r="T20" i="6"/>
  <c r="AA68" i="6"/>
  <c r="P63" i="4"/>
  <c r="K62" i="4"/>
  <c r="AN74" i="1"/>
  <c r="AO74" i="1" s="1"/>
  <c r="Y73" i="1"/>
  <c r="Z73" i="1" s="1"/>
  <c r="AA73" i="1" s="1"/>
  <c r="U20" i="6" l="1"/>
  <c r="P29" i="6"/>
  <c r="N56" i="1" s="1"/>
  <c r="S36" i="6"/>
  <c r="R43" i="6"/>
  <c r="AF5" i="6"/>
  <c r="AE4" i="6"/>
  <c r="T85" i="6"/>
  <c r="Y88" i="6"/>
  <c r="V53" i="1"/>
  <c r="L62" i="4"/>
  <c r="Q63" i="4"/>
  <c r="G70" i="2" s="1"/>
  <c r="AB68" i="6"/>
  <c r="AB73" i="1"/>
  <c r="AC73" i="1" s="1"/>
  <c r="Q29" i="6" l="1"/>
  <c r="O56" i="1" s="1"/>
  <c r="Z88" i="6"/>
  <c r="W53" i="1"/>
  <c r="V20" i="6"/>
  <c r="AG5" i="6"/>
  <c r="AF4" i="6"/>
  <c r="U85" i="6"/>
  <c r="T36" i="6"/>
  <c r="S43" i="6"/>
  <c r="M62" i="4"/>
  <c r="H70" i="2"/>
  <c r="AC68" i="6"/>
  <c r="AE73" i="1"/>
  <c r="AF73" i="1" s="1"/>
  <c r="AG73" i="1" s="1"/>
  <c r="AH5" i="6" l="1"/>
  <c r="AG4" i="6"/>
  <c r="AA88" i="6"/>
  <c r="X53" i="1"/>
  <c r="V85" i="6"/>
  <c r="U36" i="6"/>
  <c r="W20" i="6"/>
  <c r="R29" i="6"/>
  <c r="P56" i="1" s="1"/>
  <c r="AD68" i="6"/>
  <c r="AH73" i="1"/>
  <c r="AI73" i="1" s="1"/>
  <c r="AJ73" i="1" s="1"/>
  <c r="N62" i="4"/>
  <c r="S29" i="6" l="1"/>
  <c r="Q56" i="1" s="1"/>
  <c r="AI5" i="6"/>
  <c r="AH4" i="6"/>
  <c r="AB88" i="6"/>
  <c r="Y53" i="1"/>
  <c r="X20" i="6"/>
  <c r="V36" i="6"/>
  <c r="W85" i="6"/>
  <c r="AE68" i="6"/>
  <c r="O62" i="4"/>
  <c r="AK73" i="1"/>
  <c r="AL73" i="1" s="1"/>
  <c r="AM73" i="1" s="1"/>
  <c r="AJ5" i="6" l="1"/>
  <c r="AI4" i="6"/>
  <c r="W36" i="6"/>
  <c r="X85" i="6"/>
  <c r="Y20" i="6"/>
  <c r="AC88" i="6"/>
  <c r="Z53" i="1"/>
  <c r="U21" i="6"/>
  <c r="T29" i="6"/>
  <c r="R56" i="1" s="1"/>
  <c r="T18" i="6"/>
  <c r="R47" i="1" s="1"/>
  <c r="P62" i="4"/>
  <c r="AF68" i="6"/>
  <c r="AN73" i="1"/>
  <c r="AO73" i="1" s="1"/>
  <c r="Q62" i="4"/>
  <c r="G69" i="2" s="1"/>
  <c r="V21" i="6" l="1"/>
  <c r="U18" i="6"/>
  <c r="S47" i="1" s="1"/>
  <c r="U29" i="6"/>
  <c r="S56" i="1" s="1"/>
  <c r="AD88" i="6"/>
  <c r="AA53" i="1"/>
  <c r="Y85" i="6"/>
  <c r="X36" i="6"/>
  <c r="Z20" i="6"/>
  <c r="AK5" i="6"/>
  <c r="AJ4" i="6"/>
  <c r="AG68" i="6"/>
  <c r="H69" i="2"/>
  <c r="AE88" i="6" l="1"/>
  <c r="AB53" i="1"/>
  <c r="Z85" i="6"/>
  <c r="AA20" i="6"/>
  <c r="AL5" i="6"/>
  <c r="AK4" i="6"/>
  <c r="Y36" i="6"/>
  <c r="W21" i="6"/>
  <c r="V18" i="6"/>
  <c r="T47" i="1" s="1"/>
  <c r="V29" i="6"/>
  <c r="T56" i="1" s="1"/>
  <c r="AH68" i="6"/>
  <c r="B55" i="4"/>
  <c r="B62" i="2" s="1"/>
  <c r="B103" i="2" s="1"/>
  <c r="F50" i="4"/>
  <c r="G50" i="4"/>
  <c r="H50" i="4"/>
  <c r="J50" i="4"/>
  <c r="K50" i="4"/>
  <c r="L50" i="4"/>
  <c r="N50" i="4"/>
  <c r="O50" i="4"/>
  <c r="P50" i="4"/>
  <c r="F51" i="4"/>
  <c r="G51" i="4"/>
  <c r="H51" i="4"/>
  <c r="J51" i="4"/>
  <c r="K51" i="4"/>
  <c r="L51" i="4"/>
  <c r="N51" i="4"/>
  <c r="O51" i="4"/>
  <c r="P51" i="4"/>
  <c r="B45" i="4"/>
  <c r="B51" i="2" s="1"/>
  <c r="B93" i="2" s="1"/>
  <c r="B46" i="4"/>
  <c r="B52" i="2" s="1"/>
  <c r="B94" i="2" s="1"/>
  <c r="B47" i="4"/>
  <c r="B53" i="2" s="1"/>
  <c r="B95" i="2" s="1"/>
  <c r="B48" i="4"/>
  <c r="B54" i="2" s="1"/>
  <c r="B96" i="2" s="1"/>
  <c r="B49" i="4"/>
  <c r="B55" i="2" s="1"/>
  <c r="B97" i="2" s="1"/>
  <c r="B50" i="4"/>
  <c r="B56" i="2" s="1"/>
  <c r="B98" i="2" s="1"/>
  <c r="B51" i="4"/>
  <c r="B57" i="2" s="1"/>
  <c r="B99" i="2" s="1"/>
  <c r="G70" i="1"/>
  <c r="X21" i="6" l="1"/>
  <c r="W18" i="6"/>
  <c r="U47" i="1" s="1"/>
  <c r="W29" i="6"/>
  <c r="U56" i="1" s="1"/>
  <c r="AA85" i="6"/>
  <c r="AM5" i="6"/>
  <c r="AL4" i="6"/>
  <c r="Z36" i="6"/>
  <c r="AB20" i="6"/>
  <c r="AF88" i="6"/>
  <c r="AC53" i="1"/>
  <c r="AI68" i="6"/>
  <c r="F59" i="4"/>
  <c r="H70" i="1"/>
  <c r="I70" i="1" s="1"/>
  <c r="H83" i="6"/>
  <c r="F51" i="1" s="1"/>
  <c r="J83" i="6"/>
  <c r="H51" i="1" s="1"/>
  <c r="L83" i="6"/>
  <c r="J51" i="1" s="1"/>
  <c r="P83" i="6"/>
  <c r="N51" i="1" s="1"/>
  <c r="G35" i="1"/>
  <c r="H35" i="1"/>
  <c r="I35" i="1"/>
  <c r="J35" i="1"/>
  <c r="F35" i="1"/>
  <c r="G22" i="1"/>
  <c r="H22" i="1"/>
  <c r="I22" i="1"/>
  <c r="J22" i="1"/>
  <c r="G23" i="1"/>
  <c r="H23" i="1"/>
  <c r="I23" i="1"/>
  <c r="J23" i="1"/>
  <c r="K23" i="1"/>
  <c r="L23" i="1"/>
  <c r="M23" i="1"/>
  <c r="G24" i="1"/>
  <c r="H24" i="1"/>
  <c r="F24" i="4" s="1"/>
  <c r="I24" i="1"/>
  <c r="J24" i="1"/>
  <c r="F22" i="1"/>
  <c r="F23" i="1"/>
  <c r="F24" i="1"/>
  <c r="F5" i="1"/>
  <c r="G5" i="1" s="1"/>
  <c r="G7" i="1"/>
  <c r="F7" i="1"/>
  <c r="F79" i="3"/>
  <c r="C227" i="3"/>
  <c r="S8" i="14"/>
  <c r="S7" i="14"/>
  <c r="S9" i="14" s="1"/>
  <c r="S32" i="14"/>
  <c r="S34" i="14" s="1"/>
  <c r="S24" i="14"/>
  <c r="S25" i="14" s="1"/>
  <c r="S23" i="14"/>
  <c r="J21" i="14"/>
  <c r="L21" i="14" s="1"/>
  <c r="Q24" i="14" s="1"/>
  <c r="F21" i="14"/>
  <c r="Q8" i="14" s="1"/>
  <c r="F20" i="14"/>
  <c r="F19" i="14"/>
  <c r="F18" i="14"/>
  <c r="J17" i="14"/>
  <c r="L17" i="14" s="1"/>
  <c r="Q23" i="14" s="1"/>
  <c r="F17" i="14"/>
  <c r="Q7" i="14" s="1"/>
  <c r="E16" i="14"/>
  <c r="D16" i="14"/>
  <c r="E15" i="14"/>
  <c r="D15" i="14"/>
  <c r="F15" i="14" s="1"/>
  <c r="F14" i="14"/>
  <c r="F13" i="14"/>
  <c r="F12" i="14"/>
  <c r="F11" i="14"/>
  <c r="F10" i="14"/>
  <c r="F9" i="14"/>
  <c r="F8" i="14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B8" i="14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D7" i="14"/>
  <c r="F7" i="14" s="1"/>
  <c r="AC20" i="6" l="1"/>
  <c r="AA36" i="6"/>
  <c r="AB85" i="6"/>
  <c r="AG88" i="6"/>
  <c r="AD53" i="1"/>
  <c r="AN5" i="6"/>
  <c r="AM4" i="6"/>
  <c r="Y21" i="6"/>
  <c r="X18" i="6"/>
  <c r="V47" i="1" s="1"/>
  <c r="X29" i="6"/>
  <c r="V56" i="1" s="1"/>
  <c r="AJ68" i="6"/>
  <c r="F74" i="3"/>
  <c r="F142" i="3" s="1"/>
  <c r="F147" i="3"/>
  <c r="F36" i="1"/>
  <c r="G36" i="1"/>
  <c r="J70" i="1"/>
  <c r="K70" i="1" s="1"/>
  <c r="L70" i="1" s="1"/>
  <c r="G59" i="4"/>
  <c r="F22" i="4"/>
  <c r="F23" i="4"/>
  <c r="G23" i="4"/>
  <c r="F34" i="4"/>
  <c r="S36" i="14"/>
  <c r="Q9" i="14"/>
  <c r="Q25" i="14"/>
  <c r="F16" i="14"/>
  <c r="Z21" i="6" l="1"/>
  <c r="Y18" i="6"/>
  <c r="W47" i="1" s="1"/>
  <c r="Y29" i="6"/>
  <c r="W56" i="1" s="1"/>
  <c r="AH88" i="6"/>
  <c r="AE53" i="1"/>
  <c r="AC85" i="6"/>
  <c r="AO5" i="6"/>
  <c r="AN4" i="6"/>
  <c r="AD20" i="6"/>
  <c r="AB36" i="6"/>
  <c r="AK68" i="6"/>
  <c r="M70" i="1"/>
  <c r="N70" i="1" s="1"/>
  <c r="O70" i="1" s="1"/>
  <c r="H59" i="4"/>
  <c r="H49" i="4"/>
  <c r="F49" i="4"/>
  <c r="B84" i="3"/>
  <c r="E37" i="3"/>
  <c r="E105" i="3" s="1"/>
  <c r="E180" i="3" s="1"/>
  <c r="E38" i="3"/>
  <c r="E106" i="3" s="1"/>
  <c r="E181" i="3" s="1"/>
  <c r="E39" i="3"/>
  <c r="E107" i="3" s="1"/>
  <c r="E182" i="3" s="1"/>
  <c r="E40" i="3"/>
  <c r="E108" i="3" s="1"/>
  <c r="E183" i="3" s="1"/>
  <c r="E41" i="3"/>
  <c r="E109" i="3" s="1"/>
  <c r="E184" i="3" s="1"/>
  <c r="E42" i="3"/>
  <c r="E110" i="3" s="1"/>
  <c r="E185" i="3" s="1"/>
  <c r="E43" i="3"/>
  <c r="E111" i="3" s="1"/>
  <c r="E186" i="3" s="1"/>
  <c r="E44" i="3"/>
  <c r="E112" i="3" s="1"/>
  <c r="E187" i="3" s="1"/>
  <c r="E45" i="3"/>
  <c r="E113" i="3" s="1"/>
  <c r="E188" i="3" s="1"/>
  <c r="E46" i="3"/>
  <c r="E114" i="3" s="1"/>
  <c r="E189" i="3" s="1"/>
  <c r="E47" i="3"/>
  <c r="E115" i="3" s="1"/>
  <c r="E190" i="3" s="1"/>
  <c r="E48" i="3"/>
  <c r="E116" i="3" s="1"/>
  <c r="E191" i="3" s="1"/>
  <c r="E49" i="3"/>
  <c r="E117" i="3" s="1"/>
  <c r="E192" i="3" s="1"/>
  <c r="E74" i="3"/>
  <c r="E142" i="3" s="1"/>
  <c r="E217" i="3" s="1"/>
  <c r="E36" i="3"/>
  <c r="E104" i="3" s="1"/>
  <c r="E179" i="3" s="1"/>
  <c r="E20" i="3"/>
  <c r="E88" i="3" s="1"/>
  <c r="E163" i="3" s="1"/>
  <c r="E21" i="3"/>
  <c r="E89" i="3" s="1"/>
  <c r="E164" i="3" s="1"/>
  <c r="E22" i="3"/>
  <c r="E90" i="3" s="1"/>
  <c r="E165" i="3" s="1"/>
  <c r="E23" i="3"/>
  <c r="E91" i="3" s="1"/>
  <c r="E166" i="3" s="1"/>
  <c r="E24" i="3"/>
  <c r="E92" i="3" s="1"/>
  <c r="E167" i="3" s="1"/>
  <c r="E25" i="3"/>
  <c r="E93" i="3" s="1"/>
  <c r="E168" i="3" s="1"/>
  <c r="E26" i="3"/>
  <c r="E94" i="3" s="1"/>
  <c r="E169" i="3" s="1"/>
  <c r="E27" i="3"/>
  <c r="E95" i="3" s="1"/>
  <c r="E170" i="3" s="1"/>
  <c r="E28" i="3"/>
  <c r="E96" i="3" s="1"/>
  <c r="E171" i="3" s="1"/>
  <c r="E29" i="3"/>
  <c r="E97" i="3" s="1"/>
  <c r="E172" i="3" s="1"/>
  <c r="E30" i="3"/>
  <c r="E98" i="3" s="1"/>
  <c r="E173" i="3" s="1"/>
  <c r="E31" i="3"/>
  <c r="E99" i="3" s="1"/>
  <c r="E174" i="3" s="1"/>
  <c r="E32" i="3"/>
  <c r="E100" i="3" s="1"/>
  <c r="E175" i="3" s="1"/>
  <c r="E33" i="3"/>
  <c r="E101" i="3" s="1"/>
  <c r="E176" i="3" s="1"/>
  <c r="E34" i="3"/>
  <c r="E102" i="3" s="1"/>
  <c r="E177" i="3" s="1"/>
  <c r="E19" i="3"/>
  <c r="E87" i="3" s="1"/>
  <c r="E162" i="3" s="1"/>
  <c r="E86" i="3"/>
  <c r="E161" i="3" s="1"/>
  <c r="D35" i="3"/>
  <c r="E35" i="3"/>
  <c r="C35" i="3"/>
  <c r="C86" i="3"/>
  <c r="C161" i="3" s="1"/>
  <c r="D86" i="3"/>
  <c r="D161" i="3" s="1"/>
  <c r="AE20" i="6" l="1"/>
  <c r="AC36" i="6"/>
  <c r="AD85" i="6"/>
  <c r="AI88" i="6"/>
  <c r="AF53" i="1"/>
  <c r="AP5" i="6"/>
  <c r="AO4" i="6"/>
  <c r="AA21" i="6"/>
  <c r="Z29" i="6"/>
  <c r="X56" i="1" s="1"/>
  <c r="Z18" i="6"/>
  <c r="X47" i="1" s="1"/>
  <c r="AL68" i="6"/>
  <c r="F214" i="3"/>
  <c r="F215" i="3"/>
  <c r="F211" i="3"/>
  <c r="F213" i="3"/>
  <c r="F212" i="3"/>
  <c r="B159" i="3"/>
  <c r="F202" i="3"/>
  <c r="F204" i="3"/>
  <c r="F206" i="3"/>
  <c r="F208" i="3"/>
  <c r="F203" i="3"/>
  <c r="F205" i="3"/>
  <c r="F207" i="3"/>
  <c r="F209" i="3"/>
  <c r="F197" i="3"/>
  <c r="F193" i="3"/>
  <c r="F196" i="3"/>
  <c r="F198" i="3"/>
  <c r="F210" i="3"/>
  <c r="F194" i="3"/>
  <c r="F199" i="3"/>
  <c r="F200" i="3"/>
  <c r="F201" i="3"/>
  <c r="E103" i="3"/>
  <c r="E178" i="3" s="1"/>
  <c r="E52" i="3"/>
  <c r="D103" i="3"/>
  <c r="D178" i="3" s="1"/>
  <c r="D52" i="3"/>
  <c r="C103" i="3"/>
  <c r="C178" i="3" s="1"/>
  <c r="C52" i="3"/>
  <c r="P70" i="1"/>
  <c r="Q70" i="1" s="1"/>
  <c r="D227" i="3"/>
  <c r="C221" i="3"/>
  <c r="F218" i="3"/>
  <c r="D40" i="3"/>
  <c r="D108" i="3" s="1"/>
  <c r="D41" i="3"/>
  <c r="D109" i="3" s="1"/>
  <c r="D42" i="3"/>
  <c r="D110" i="3" s="1"/>
  <c r="D43" i="3"/>
  <c r="D111" i="3" s="1"/>
  <c r="D44" i="3"/>
  <c r="D112" i="3" s="1"/>
  <c r="D45" i="3"/>
  <c r="D113" i="3" s="1"/>
  <c r="D46" i="3"/>
  <c r="D114" i="3" s="1"/>
  <c r="D47" i="3"/>
  <c r="D115" i="3" s="1"/>
  <c r="D48" i="3"/>
  <c r="D116" i="3" s="1"/>
  <c r="D49" i="3"/>
  <c r="B40" i="3"/>
  <c r="B108" i="3" s="1"/>
  <c r="B183" i="3" s="1"/>
  <c r="B41" i="3"/>
  <c r="B109" i="3" s="1"/>
  <c r="B184" i="3" s="1"/>
  <c r="B42" i="3"/>
  <c r="B110" i="3" s="1"/>
  <c r="B185" i="3" s="1"/>
  <c r="B43" i="3"/>
  <c r="B111" i="3" s="1"/>
  <c r="B186" i="3" s="1"/>
  <c r="B44" i="3"/>
  <c r="B112" i="3" s="1"/>
  <c r="B187" i="3" s="1"/>
  <c r="B45" i="3"/>
  <c r="B113" i="3" s="1"/>
  <c r="B188" i="3" s="1"/>
  <c r="B46" i="3"/>
  <c r="B114" i="3" s="1"/>
  <c r="B189" i="3" s="1"/>
  <c r="B47" i="3"/>
  <c r="B115" i="3" s="1"/>
  <c r="B190" i="3" s="1"/>
  <c r="B48" i="3"/>
  <c r="B116" i="3" s="1"/>
  <c r="B191" i="3" s="1"/>
  <c r="B49" i="3"/>
  <c r="B117" i="3" s="1"/>
  <c r="B192" i="3" s="1"/>
  <c r="D37" i="3"/>
  <c r="D38" i="3"/>
  <c r="D106" i="3" s="1"/>
  <c r="D39" i="3"/>
  <c r="D107" i="3" s="1"/>
  <c r="D36" i="3"/>
  <c r="D104" i="3" s="1"/>
  <c r="D20" i="3"/>
  <c r="D88" i="3" s="1"/>
  <c r="D21" i="3"/>
  <c r="D89" i="3" s="1"/>
  <c r="D22" i="3"/>
  <c r="D90" i="3" s="1"/>
  <c r="D23" i="3"/>
  <c r="D91" i="3" s="1"/>
  <c r="D24" i="3"/>
  <c r="D92" i="3" s="1"/>
  <c r="D25" i="3"/>
  <c r="D93" i="3" s="1"/>
  <c r="D26" i="3"/>
  <c r="D94" i="3" s="1"/>
  <c r="D27" i="3"/>
  <c r="D28" i="3"/>
  <c r="D96" i="3" s="1"/>
  <c r="D29" i="3"/>
  <c r="D97" i="3" s="1"/>
  <c r="D30" i="3"/>
  <c r="D98" i="3" s="1"/>
  <c r="D31" i="3"/>
  <c r="D32" i="3"/>
  <c r="D100" i="3" s="1"/>
  <c r="D33" i="3"/>
  <c r="D101" i="3" s="1"/>
  <c r="D34" i="3"/>
  <c r="D102" i="3" s="1"/>
  <c r="D19" i="3"/>
  <c r="D87" i="3" s="1"/>
  <c r="B142" i="3"/>
  <c r="B217" i="3" s="1"/>
  <c r="B38" i="3"/>
  <c r="B106" i="3" s="1"/>
  <c r="B181" i="3" s="1"/>
  <c r="B39" i="3"/>
  <c r="B107" i="3" s="1"/>
  <c r="B182" i="3" s="1"/>
  <c r="C37" i="3"/>
  <c r="C105" i="3" s="1"/>
  <c r="C180" i="3" s="1"/>
  <c r="C38" i="3"/>
  <c r="C106" i="3" s="1"/>
  <c r="C181" i="3" s="1"/>
  <c r="C39" i="3"/>
  <c r="C107" i="3" s="1"/>
  <c r="C182" i="3" s="1"/>
  <c r="C36" i="3"/>
  <c r="C104" i="3" s="1"/>
  <c r="C179" i="3" s="1"/>
  <c r="C19" i="3"/>
  <c r="C87" i="3" s="1"/>
  <c r="C162" i="3" s="1"/>
  <c r="C20" i="3"/>
  <c r="C88" i="3" s="1"/>
  <c r="C163" i="3" s="1"/>
  <c r="C21" i="3"/>
  <c r="C89" i="3" s="1"/>
  <c r="C164" i="3" s="1"/>
  <c r="C22" i="3"/>
  <c r="C90" i="3" s="1"/>
  <c r="C165" i="3" s="1"/>
  <c r="C23" i="3"/>
  <c r="C91" i="3" s="1"/>
  <c r="C166" i="3" s="1"/>
  <c r="C24" i="3"/>
  <c r="C92" i="3" s="1"/>
  <c r="C167" i="3" s="1"/>
  <c r="C25" i="3"/>
  <c r="C93" i="3" s="1"/>
  <c r="C168" i="3" s="1"/>
  <c r="C26" i="3"/>
  <c r="C94" i="3" s="1"/>
  <c r="C169" i="3" s="1"/>
  <c r="C27" i="3"/>
  <c r="C95" i="3" s="1"/>
  <c r="C170" i="3" s="1"/>
  <c r="C28" i="3"/>
  <c r="C96" i="3" s="1"/>
  <c r="C171" i="3" s="1"/>
  <c r="C29" i="3"/>
  <c r="C97" i="3" s="1"/>
  <c r="C172" i="3" s="1"/>
  <c r="C30" i="3"/>
  <c r="C98" i="3" s="1"/>
  <c r="C173" i="3" s="1"/>
  <c r="C31" i="3"/>
  <c r="C99" i="3" s="1"/>
  <c r="C174" i="3" s="1"/>
  <c r="C32" i="3"/>
  <c r="C100" i="3" s="1"/>
  <c r="C175" i="3" s="1"/>
  <c r="C33" i="3"/>
  <c r="C101" i="3" s="1"/>
  <c r="C176" i="3" s="1"/>
  <c r="C34" i="3"/>
  <c r="C102" i="3" s="1"/>
  <c r="C177" i="3" s="1"/>
  <c r="B18" i="3"/>
  <c r="B86" i="3" s="1"/>
  <c r="B161" i="3" s="1"/>
  <c r="B19" i="3"/>
  <c r="B87" i="3" s="1"/>
  <c r="B162" i="3" s="1"/>
  <c r="B20" i="3"/>
  <c r="B88" i="3" s="1"/>
  <c r="B163" i="3" s="1"/>
  <c r="B21" i="3"/>
  <c r="B89" i="3" s="1"/>
  <c r="B164" i="3" s="1"/>
  <c r="B22" i="3"/>
  <c r="B90" i="3" s="1"/>
  <c r="B165" i="3" s="1"/>
  <c r="B23" i="3"/>
  <c r="B91" i="3" s="1"/>
  <c r="B166" i="3" s="1"/>
  <c r="B24" i="3"/>
  <c r="B92" i="3" s="1"/>
  <c r="B167" i="3" s="1"/>
  <c r="B25" i="3"/>
  <c r="B93" i="3" s="1"/>
  <c r="B168" i="3" s="1"/>
  <c r="B26" i="3"/>
  <c r="B94" i="3" s="1"/>
  <c r="B169" i="3" s="1"/>
  <c r="B27" i="3"/>
  <c r="B95" i="3" s="1"/>
  <c r="B170" i="3" s="1"/>
  <c r="B28" i="3"/>
  <c r="B96" i="3" s="1"/>
  <c r="B171" i="3" s="1"/>
  <c r="B29" i="3"/>
  <c r="B97" i="3" s="1"/>
  <c r="B172" i="3" s="1"/>
  <c r="B30" i="3"/>
  <c r="B98" i="3" s="1"/>
  <c r="B173" i="3" s="1"/>
  <c r="B31" i="3"/>
  <c r="B99" i="3" s="1"/>
  <c r="B174" i="3" s="1"/>
  <c r="B32" i="3"/>
  <c r="B100" i="3" s="1"/>
  <c r="B175" i="3" s="1"/>
  <c r="B33" i="3"/>
  <c r="B101" i="3" s="1"/>
  <c r="B176" i="3" s="1"/>
  <c r="B34" i="3"/>
  <c r="B102" i="3" s="1"/>
  <c r="B177" i="3" s="1"/>
  <c r="B35" i="3"/>
  <c r="B103" i="3" s="1"/>
  <c r="B178" i="3" s="1"/>
  <c r="B36" i="3"/>
  <c r="B104" i="3" s="1"/>
  <c r="B179" i="3" s="1"/>
  <c r="B37" i="3"/>
  <c r="B105" i="3" s="1"/>
  <c r="B180" i="3" s="1"/>
  <c r="AE85" i="6" l="1"/>
  <c r="AQ5" i="6"/>
  <c r="AQ4" i="6" s="1"/>
  <c r="AP4" i="6"/>
  <c r="AF20" i="6"/>
  <c r="AB21" i="6"/>
  <c r="AA18" i="6"/>
  <c r="Y47" i="1" s="1"/>
  <c r="AA29" i="6"/>
  <c r="Y56" i="1" s="1"/>
  <c r="AJ88" i="6"/>
  <c r="AG53" i="1"/>
  <c r="AD36" i="6"/>
  <c r="I59" i="4"/>
  <c r="AM68" i="6"/>
  <c r="C40" i="3"/>
  <c r="C108" i="3" s="1"/>
  <c r="C183" i="3" s="1"/>
  <c r="D176" i="3"/>
  <c r="F101" i="3"/>
  <c r="D168" i="3"/>
  <c r="F93" i="3"/>
  <c r="D181" i="3"/>
  <c r="F106" i="3"/>
  <c r="D189" i="3"/>
  <c r="F114" i="3"/>
  <c r="D185" i="3"/>
  <c r="F110" i="3"/>
  <c r="D175" i="3"/>
  <c r="F100" i="3"/>
  <c r="D171" i="3"/>
  <c r="F96" i="3"/>
  <c r="D167" i="3"/>
  <c r="F92" i="3"/>
  <c r="D163" i="3"/>
  <c r="F88" i="3"/>
  <c r="D188" i="3"/>
  <c r="F113" i="3"/>
  <c r="D184" i="3"/>
  <c r="F109" i="3"/>
  <c r="D172" i="3"/>
  <c r="F97" i="3"/>
  <c r="D162" i="3"/>
  <c r="F87" i="3"/>
  <c r="D166" i="3"/>
  <c r="F91" i="3"/>
  <c r="D179" i="3"/>
  <c r="F104" i="3"/>
  <c r="D191" i="3"/>
  <c r="F116" i="3"/>
  <c r="D187" i="3"/>
  <c r="F112" i="3"/>
  <c r="D183" i="3"/>
  <c r="F108" i="3"/>
  <c r="D164" i="3"/>
  <c r="F89" i="3"/>
  <c r="D177" i="3"/>
  <c r="F102" i="3"/>
  <c r="D173" i="3"/>
  <c r="F98" i="3"/>
  <c r="D169" i="3"/>
  <c r="F94" i="3"/>
  <c r="D165" i="3"/>
  <c r="F90" i="3"/>
  <c r="D182" i="3"/>
  <c r="F107" i="3"/>
  <c r="D190" i="3"/>
  <c r="F115" i="3"/>
  <c r="D186" i="3"/>
  <c r="F111" i="3"/>
  <c r="E227" i="3"/>
  <c r="F37" i="3"/>
  <c r="F180" i="3" s="1"/>
  <c r="D105" i="3"/>
  <c r="F31" i="3"/>
  <c r="F174" i="3" s="1"/>
  <c r="D99" i="3"/>
  <c r="F27" i="3"/>
  <c r="F170" i="3" s="1"/>
  <c r="D95" i="3"/>
  <c r="D142" i="3"/>
  <c r="D217" i="3" s="1"/>
  <c r="D117" i="3"/>
  <c r="F49" i="3"/>
  <c r="F45" i="3"/>
  <c r="F188" i="3" s="1"/>
  <c r="F41" i="3"/>
  <c r="F184" i="3" s="1"/>
  <c r="F42" i="3"/>
  <c r="F185" i="3" s="1"/>
  <c r="F48" i="3"/>
  <c r="F191" i="3" s="1"/>
  <c r="F44" i="3"/>
  <c r="F187" i="3" s="1"/>
  <c r="F40" i="3"/>
  <c r="F183" i="3" s="1"/>
  <c r="F46" i="3"/>
  <c r="F189" i="3" s="1"/>
  <c r="F47" i="3"/>
  <c r="F190" i="3" s="1"/>
  <c r="F43" i="3"/>
  <c r="F186" i="3" s="1"/>
  <c r="F28" i="3"/>
  <c r="F171" i="3" s="1"/>
  <c r="F32" i="3"/>
  <c r="F175" i="3" s="1"/>
  <c r="F24" i="3"/>
  <c r="F167" i="3" s="1"/>
  <c r="F26" i="3"/>
  <c r="F169" i="3" s="1"/>
  <c r="F23" i="3"/>
  <c r="F166" i="3" s="1"/>
  <c r="F34" i="3"/>
  <c r="F177" i="3" s="1"/>
  <c r="F30" i="3"/>
  <c r="F173" i="3" s="1"/>
  <c r="F22" i="3"/>
  <c r="F165" i="3" s="1"/>
  <c r="F29" i="3"/>
  <c r="F172" i="3" s="1"/>
  <c r="F21" i="3"/>
  <c r="F164" i="3" s="1"/>
  <c r="F39" i="3"/>
  <c r="F182" i="3" s="1"/>
  <c r="F33" i="3"/>
  <c r="F176" i="3" s="1"/>
  <c r="F25" i="3"/>
  <c r="F168" i="3" s="1"/>
  <c r="F38" i="3"/>
  <c r="F181" i="3" s="1"/>
  <c r="F19" i="3"/>
  <c r="F20" i="3"/>
  <c r="F163" i="3" s="1"/>
  <c r="F36" i="3"/>
  <c r="F179" i="3" s="1"/>
  <c r="AK88" i="6" l="1"/>
  <c r="AH53" i="1"/>
  <c r="AG20" i="6"/>
  <c r="AF85" i="6"/>
  <c r="AC21" i="6"/>
  <c r="AB29" i="6"/>
  <c r="Z56" i="1" s="1"/>
  <c r="AB18" i="6"/>
  <c r="Z47" i="1" s="1"/>
  <c r="AE36" i="6"/>
  <c r="AN68" i="6"/>
  <c r="F162" i="3"/>
  <c r="F78" i="3"/>
  <c r="C41" i="3"/>
  <c r="C109" i="3" s="1"/>
  <c r="D170" i="3"/>
  <c r="F95" i="3"/>
  <c r="D180" i="3"/>
  <c r="F105" i="3"/>
  <c r="D192" i="3"/>
  <c r="F117" i="3"/>
  <c r="D174" i="3"/>
  <c r="F99" i="3"/>
  <c r="F192" i="3"/>
  <c r="C42" i="3"/>
  <c r="C110" i="3" s="1"/>
  <c r="AD21" i="6" l="1"/>
  <c r="AC18" i="6"/>
  <c r="AA47" i="1" s="1"/>
  <c r="AC29" i="6"/>
  <c r="AA56" i="1" s="1"/>
  <c r="AG85" i="6"/>
  <c r="AH20" i="6"/>
  <c r="AL88" i="6"/>
  <c r="AI53" i="1"/>
  <c r="AF36" i="6"/>
  <c r="AO68" i="6"/>
  <c r="F11" i="1"/>
  <c r="H10" i="6" s="1"/>
  <c r="F220" i="3"/>
  <c r="F221" i="3"/>
  <c r="F29" i="1" s="1"/>
  <c r="C185" i="3"/>
  <c r="C184" i="3"/>
  <c r="F151" i="3"/>
  <c r="F145" i="3"/>
  <c r="C43" i="3"/>
  <c r="C111" i="3" s="1"/>
  <c r="M87" i="6"/>
  <c r="M89" i="6" s="1"/>
  <c r="Q87" i="6"/>
  <c r="Q89" i="6" s="1"/>
  <c r="I87" i="6"/>
  <c r="I89" i="6" s="1"/>
  <c r="K87" i="6"/>
  <c r="K89" i="6" s="1"/>
  <c r="G5" i="3"/>
  <c r="G79" i="3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E87" i="7"/>
  <c r="F87" i="7" s="1"/>
  <c r="E86" i="7"/>
  <c r="F86" i="7" s="1"/>
  <c r="E85" i="7"/>
  <c r="F85" i="7" s="1"/>
  <c r="E84" i="7"/>
  <c r="F84" i="7" s="1"/>
  <c r="E83" i="7"/>
  <c r="F83" i="7"/>
  <c r="E82" i="7"/>
  <c r="F82" i="7" s="1"/>
  <c r="E81" i="7"/>
  <c r="F81" i="7" s="1"/>
  <c r="E78" i="7"/>
  <c r="E79" i="7"/>
  <c r="H18" i="6"/>
  <c r="F47" i="1" s="1"/>
  <c r="G76" i="1"/>
  <c r="G77" i="1"/>
  <c r="G75" i="1"/>
  <c r="F58" i="4"/>
  <c r="G67" i="1"/>
  <c r="G68" i="1"/>
  <c r="C56" i="1"/>
  <c r="V3" i="3"/>
  <c r="I3" i="3"/>
  <c r="J3" i="3"/>
  <c r="K3" i="3"/>
  <c r="L3" i="3"/>
  <c r="M3" i="3"/>
  <c r="N3" i="3"/>
  <c r="O3" i="3"/>
  <c r="P3" i="3"/>
  <c r="Q3" i="3"/>
  <c r="R3" i="3"/>
  <c r="S3" i="3"/>
  <c r="H3" i="3"/>
  <c r="AG36" i="6" l="1"/>
  <c r="AI20" i="6"/>
  <c r="AM88" i="6"/>
  <c r="AJ53" i="1"/>
  <c r="AH85" i="6"/>
  <c r="AE21" i="6"/>
  <c r="AD29" i="6"/>
  <c r="AB56" i="1" s="1"/>
  <c r="AD18" i="6"/>
  <c r="AB47" i="1" s="1"/>
  <c r="AP68" i="6"/>
  <c r="G74" i="3"/>
  <c r="G147" i="3"/>
  <c r="F78" i="7"/>
  <c r="E89" i="7"/>
  <c r="G123" i="3"/>
  <c r="G140" i="3"/>
  <c r="G65" i="3"/>
  <c r="G208" i="3" s="1"/>
  <c r="G126" i="3"/>
  <c r="G118" i="3"/>
  <c r="G67" i="3"/>
  <c r="G210" i="3" s="1"/>
  <c r="G139" i="3"/>
  <c r="G124" i="3"/>
  <c r="G127" i="3"/>
  <c r="G63" i="3"/>
  <c r="G206" i="3" s="1"/>
  <c r="G71" i="3"/>
  <c r="G214" i="3" s="1"/>
  <c r="G59" i="3"/>
  <c r="G202" i="3" s="1"/>
  <c r="G56" i="3"/>
  <c r="G199" i="3" s="1"/>
  <c r="G60" i="3"/>
  <c r="G203" i="3" s="1"/>
  <c r="G55" i="3"/>
  <c r="G198" i="3" s="1"/>
  <c r="G54" i="3"/>
  <c r="G197" i="3" s="1"/>
  <c r="G58" i="3"/>
  <c r="G201" i="3" s="1"/>
  <c r="G61" i="3"/>
  <c r="G204" i="3" s="1"/>
  <c r="G72" i="3"/>
  <c r="G215" i="3" s="1"/>
  <c r="G70" i="3"/>
  <c r="G213" i="3" s="1"/>
  <c r="G66" i="3"/>
  <c r="G209" i="3" s="1"/>
  <c r="G69" i="3"/>
  <c r="G212" i="3" s="1"/>
  <c r="G68" i="3"/>
  <c r="G211" i="3" s="1"/>
  <c r="G64" i="3"/>
  <c r="G207" i="3" s="1"/>
  <c r="G62" i="3"/>
  <c r="G205" i="3" s="1"/>
  <c r="G57" i="3"/>
  <c r="G200" i="3" s="1"/>
  <c r="G53" i="3"/>
  <c r="G196" i="3" s="1"/>
  <c r="G136" i="3"/>
  <c r="G133" i="3"/>
  <c r="G137" i="3"/>
  <c r="G125" i="3"/>
  <c r="G135" i="3"/>
  <c r="G132" i="3"/>
  <c r="G130" i="3"/>
  <c r="G121" i="3"/>
  <c r="G131" i="3"/>
  <c r="G134" i="3"/>
  <c r="G129" i="3"/>
  <c r="G119" i="3"/>
  <c r="G122" i="3"/>
  <c r="G128" i="3"/>
  <c r="G138" i="3"/>
  <c r="G50" i="3"/>
  <c r="G193" i="3" s="1"/>
  <c r="G51" i="3"/>
  <c r="G194" i="3" s="1"/>
  <c r="G96" i="3"/>
  <c r="G92" i="3"/>
  <c r="G100" i="3"/>
  <c r="G113" i="3"/>
  <c r="G109" i="3"/>
  <c r="G106" i="3"/>
  <c r="G101" i="3"/>
  <c r="G93" i="3"/>
  <c r="G97" i="3"/>
  <c r="G110" i="3"/>
  <c r="G87" i="3"/>
  <c r="G88" i="3"/>
  <c r="G91" i="3"/>
  <c r="G90" i="3"/>
  <c r="G111" i="3"/>
  <c r="G114" i="3"/>
  <c r="G116" i="3"/>
  <c r="G108" i="3"/>
  <c r="G89" i="3"/>
  <c r="G102" i="3"/>
  <c r="G94" i="3"/>
  <c r="G115" i="3"/>
  <c r="G104" i="3"/>
  <c r="G98" i="3"/>
  <c r="G107" i="3"/>
  <c r="G112" i="3"/>
  <c r="G95" i="3"/>
  <c r="G105" i="3"/>
  <c r="G99" i="3"/>
  <c r="G117" i="3"/>
  <c r="C186" i="3"/>
  <c r="F79" i="7"/>
  <c r="F89" i="7" s="1"/>
  <c r="F65" i="2"/>
  <c r="H77" i="1"/>
  <c r="I77" i="1" s="1"/>
  <c r="H76" i="1"/>
  <c r="F65" i="4" s="1"/>
  <c r="H68" i="1"/>
  <c r="F57" i="4" s="1"/>
  <c r="H75" i="1"/>
  <c r="F64" i="4" s="1"/>
  <c r="H67" i="1"/>
  <c r="F56" i="4" s="1"/>
  <c r="K83" i="6"/>
  <c r="I51" i="1" s="1"/>
  <c r="I83" i="6"/>
  <c r="G51" i="1" s="1"/>
  <c r="R87" i="6"/>
  <c r="R89" i="6" s="1"/>
  <c r="Q83" i="6"/>
  <c r="O51" i="1" s="1"/>
  <c r="O87" i="6"/>
  <c r="O89" i="6" s="1"/>
  <c r="M83" i="6"/>
  <c r="K51" i="1" s="1"/>
  <c r="L18" i="6"/>
  <c r="J47" i="1" s="1"/>
  <c r="J18" i="6"/>
  <c r="H47" i="1" s="1"/>
  <c r="I18" i="6"/>
  <c r="G47" i="1" s="1"/>
  <c r="AM3" i="3"/>
  <c r="W3" i="3"/>
  <c r="G48" i="3"/>
  <c r="G191" i="3" s="1"/>
  <c r="G44" i="3"/>
  <c r="G187" i="3" s="1"/>
  <c r="G46" i="3"/>
  <c r="G189" i="3" s="1"/>
  <c r="G49" i="3"/>
  <c r="G40" i="3"/>
  <c r="G183" i="3" s="1"/>
  <c r="G47" i="3"/>
  <c r="G190" i="3" s="1"/>
  <c r="G42" i="3"/>
  <c r="G185" i="3" s="1"/>
  <c r="G43" i="3"/>
  <c r="G186" i="3" s="1"/>
  <c r="G41" i="3"/>
  <c r="G184" i="3" s="1"/>
  <c r="G45" i="3"/>
  <c r="G188" i="3" s="1"/>
  <c r="G32" i="3"/>
  <c r="G175" i="3" s="1"/>
  <c r="G29" i="3"/>
  <c r="G172" i="3" s="1"/>
  <c r="G28" i="3"/>
  <c r="G171" i="3" s="1"/>
  <c r="G19" i="3"/>
  <c r="G162" i="3" s="1"/>
  <c r="G37" i="3"/>
  <c r="G180" i="3" s="1"/>
  <c r="G22" i="3"/>
  <c r="G165" i="3" s="1"/>
  <c r="G21" i="3"/>
  <c r="G164" i="3" s="1"/>
  <c r="G24" i="3"/>
  <c r="G167" i="3" s="1"/>
  <c r="G33" i="3"/>
  <c r="G176" i="3" s="1"/>
  <c r="G25" i="3"/>
  <c r="G168" i="3" s="1"/>
  <c r="G38" i="3"/>
  <c r="G181" i="3" s="1"/>
  <c r="G26" i="3"/>
  <c r="G169" i="3" s="1"/>
  <c r="G34" i="3"/>
  <c r="G177" i="3" s="1"/>
  <c r="G27" i="3"/>
  <c r="G170" i="3" s="1"/>
  <c r="G39" i="3"/>
  <c r="G182" i="3" s="1"/>
  <c r="G31" i="3"/>
  <c r="G174" i="3" s="1"/>
  <c r="G23" i="3"/>
  <c r="G166" i="3" s="1"/>
  <c r="G30" i="3"/>
  <c r="G173" i="3" s="1"/>
  <c r="G36" i="3"/>
  <c r="G179" i="3" s="1"/>
  <c r="G20" i="3"/>
  <c r="C44" i="3"/>
  <c r="C112" i="3" s="1"/>
  <c r="X3" i="3"/>
  <c r="Z3" i="3"/>
  <c r="Y3" i="3"/>
  <c r="T3" i="3"/>
  <c r="AB3" i="3"/>
  <c r="AA3" i="3"/>
  <c r="AH3" i="3"/>
  <c r="AD3" i="3"/>
  <c r="AC3" i="3"/>
  <c r="AE3" i="3"/>
  <c r="I67" i="1"/>
  <c r="J77" i="1"/>
  <c r="K77" i="1" s="1"/>
  <c r="L77" i="1" s="1"/>
  <c r="U3" i="3"/>
  <c r="H5" i="3"/>
  <c r="H79" i="3" s="1"/>
  <c r="AF21" i="6" l="1"/>
  <c r="AE18" i="6"/>
  <c r="AC47" i="1" s="1"/>
  <c r="AE29" i="6"/>
  <c r="AC56" i="1" s="1"/>
  <c r="AN88" i="6"/>
  <c r="AK53" i="1"/>
  <c r="AI85" i="6"/>
  <c r="AJ20" i="6"/>
  <c r="AH36" i="6"/>
  <c r="AQ68" i="6"/>
  <c r="S87" i="6"/>
  <c r="S89" i="6" s="1"/>
  <c r="I68" i="1"/>
  <c r="J68" i="1" s="1"/>
  <c r="K68" i="1" s="1"/>
  <c r="L68" i="1" s="1"/>
  <c r="M68" i="1" s="1"/>
  <c r="N68" i="1" s="1"/>
  <c r="O68" i="1" s="1"/>
  <c r="F66" i="4"/>
  <c r="H74" i="3"/>
  <c r="H147" i="3"/>
  <c r="G218" i="3"/>
  <c r="G142" i="3"/>
  <c r="G148" i="3" s="1"/>
  <c r="G78" i="3"/>
  <c r="H139" i="3"/>
  <c r="H140" i="3"/>
  <c r="H122" i="3"/>
  <c r="H71" i="3"/>
  <c r="H214" i="3" s="1"/>
  <c r="H70" i="3"/>
  <c r="H213" i="3" s="1"/>
  <c r="H55" i="3"/>
  <c r="H198" i="3" s="1"/>
  <c r="H118" i="3"/>
  <c r="H54" i="3"/>
  <c r="H197" i="3" s="1"/>
  <c r="H67" i="3"/>
  <c r="H210" i="3" s="1"/>
  <c r="H66" i="3"/>
  <c r="H209" i="3" s="1"/>
  <c r="H68" i="3"/>
  <c r="H211" i="3" s="1"/>
  <c r="H65" i="3"/>
  <c r="H208" i="3" s="1"/>
  <c r="H60" i="3"/>
  <c r="H203" i="3" s="1"/>
  <c r="H64" i="3"/>
  <c r="H207" i="3" s="1"/>
  <c r="H72" i="3"/>
  <c r="H215" i="3" s="1"/>
  <c r="H69" i="3"/>
  <c r="H212" i="3" s="1"/>
  <c r="H123" i="3"/>
  <c r="H61" i="3"/>
  <c r="H204" i="3" s="1"/>
  <c r="H63" i="3"/>
  <c r="H206" i="3" s="1"/>
  <c r="H56" i="3"/>
  <c r="H199" i="3" s="1"/>
  <c r="H58" i="3"/>
  <c r="H201" i="3" s="1"/>
  <c r="H59" i="3"/>
  <c r="H202" i="3" s="1"/>
  <c r="H62" i="3"/>
  <c r="H205" i="3" s="1"/>
  <c r="H57" i="3"/>
  <c r="H200" i="3" s="1"/>
  <c r="H53" i="3"/>
  <c r="H196" i="3" s="1"/>
  <c r="H121" i="3"/>
  <c r="H136" i="3"/>
  <c r="H133" i="3"/>
  <c r="H134" i="3"/>
  <c r="H124" i="3"/>
  <c r="H131" i="3"/>
  <c r="H126" i="3"/>
  <c r="H129" i="3"/>
  <c r="H128" i="3"/>
  <c r="H138" i="3"/>
  <c r="H125" i="3"/>
  <c r="H132" i="3"/>
  <c r="H137" i="3"/>
  <c r="H119" i="3"/>
  <c r="H127" i="3"/>
  <c r="H135" i="3"/>
  <c r="H130" i="3"/>
  <c r="H50" i="3"/>
  <c r="H193" i="3" s="1"/>
  <c r="H51" i="3"/>
  <c r="H194" i="3" s="1"/>
  <c r="H101" i="3"/>
  <c r="H93" i="3"/>
  <c r="H106" i="3"/>
  <c r="H114" i="3"/>
  <c r="H96" i="3"/>
  <c r="H97" i="3"/>
  <c r="H100" i="3"/>
  <c r="H88" i="3"/>
  <c r="H110" i="3"/>
  <c r="H113" i="3"/>
  <c r="H104" i="3"/>
  <c r="H87" i="3"/>
  <c r="H109" i="3"/>
  <c r="H116" i="3"/>
  <c r="H108" i="3"/>
  <c r="H89" i="3"/>
  <c r="H91" i="3"/>
  <c r="H94" i="3"/>
  <c r="H92" i="3"/>
  <c r="H112" i="3"/>
  <c r="H111" i="3"/>
  <c r="H98" i="3"/>
  <c r="H107" i="3"/>
  <c r="H115" i="3"/>
  <c r="H102" i="3"/>
  <c r="H90" i="3"/>
  <c r="H105" i="3"/>
  <c r="H117" i="3"/>
  <c r="H99" i="3"/>
  <c r="H95" i="3"/>
  <c r="G66" i="4"/>
  <c r="I75" i="1"/>
  <c r="J75" i="1" s="1"/>
  <c r="K75" i="1" s="1"/>
  <c r="L75" i="1" s="1"/>
  <c r="I76" i="1"/>
  <c r="J76" i="1" s="1"/>
  <c r="K76" i="1" s="1"/>
  <c r="L76" i="1" s="1"/>
  <c r="C187" i="3"/>
  <c r="F45" i="4"/>
  <c r="N83" i="6"/>
  <c r="L51" i="1" s="1"/>
  <c r="O83" i="6"/>
  <c r="M51" i="1" s="1"/>
  <c r="R83" i="6"/>
  <c r="P51" i="1" s="1"/>
  <c r="K18" i="6"/>
  <c r="I47" i="1" s="1"/>
  <c r="H12" i="3"/>
  <c r="AN3" i="3"/>
  <c r="G192" i="3"/>
  <c r="AO3" i="3"/>
  <c r="AI3" i="3"/>
  <c r="AF3" i="3"/>
  <c r="G163" i="3"/>
  <c r="AP3" i="3"/>
  <c r="AK3" i="3"/>
  <c r="AG3" i="3"/>
  <c r="AQ3" i="3"/>
  <c r="AL3" i="3"/>
  <c r="AJ3" i="3"/>
  <c r="H45" i="3"/>
  <c r="H188" i="3" s="1"/>
  <c r="H41" i="3"/>
  <c r="H184" i="3" s="1"/>
  <c r="H42" i="3"/>
  <c r="H185" i="3" s="1"/>
  <c r="H48" i="3"/>
  <c r="H191" i="3" s="1"/>
  <c r="H49" i="3"/>
  <c r="H47" i="3"/>
  <c r="H190" i="3" s="1"/>
  <c r="H43" i="3"/>
  <c r="H186" i="3" s="1"/>
  <c r="H44" i="3"/>
  <c r="H187" i="3" s="1"/>
  <c r="H46" i="3"/>
  <c r="H189" i="3" s="1"/>
  <c r="H40" i="3"/>
  <c r="H183" i="3" s="1"/>
  <c r="H20" i="3"/>
  <c r="H31" i="3"/>
  <c r="H174" i="3" s="1"/>
  <c r="H25" i="3"/>
  <c r="H168" i="3" s="1"/>
  <c r="H32" i="3"/>
  <c r="H175" i="3" s="1"/>
  <c r="H26" i="3"/>
  <c r="H169" i="3" s="1"/>
  <c r="H28" i="3"/>
  <c r="H171" i="3" s="1"/>
  <c r="H33" i="3"/>
  <c r="H176" i="3" s="1"/>
  <c r="H22" i="3"/>
  <c r="H165" i="3" s="1"/>
  <c r="H29" i="3"/>
  <c r="H172" i="3" s="1"/>
  <c r="H39" i="3"/>
  <c r="H182" i="3" s="1"/>
  <c r="H27" i="3"/>
  <c r="H170" i="3" s="1"/>
  <c r="H30" i="3"/>
  <c r="H173" i="3" s="1"/>
  <c r="H34" i="3"/>
  <c r="H177" i="3" s="1"/>
  <c r="H38" i="3"/>
  <c r="H181" i="3" s="1"/>
  <c r="H37" i="3"/>
  <c r="H180" i="3" s="1"/>
  <c r="H21" i="3"/>
  <c r="H164" i="3" s="1"/>
  <c r="H19" i="3"/>
  <c r="H162" i="3" s="1"/>
  <c r="H36" i="3"/>
  <c r="H179" i="3" s="1"/>
  <c r="H24" i="3"/>
  <c r="H167" i="3" s="1"/>
  <c r="H23" i="3"/>
  <c r="H166" i="3" s="1"/>
  <c r="C45" i="3"/>
  <c r="C113" i="3" s="1"/>
  <c r="H5" i="1"/>
  <c r="M18" i="6"/>
  <c r="K47" i="1" s="1"/>
  <c r="M77" i="1"/>
  <c r="N77" i="1" s="1"/>
  <c r="O77" i="1" s="1"/>
  <c r="I5" i="3"/>
  <c r="I79" i="3" s="1"/>
  <c r="J67" i="1"/>
  <c r="K67" i="1" s="1"/>
  <c r="L67" i="1" s="1"/>
  <c r="S83" i="6" l="1"/>
  <c r="Q51" i="1" s="1"/>
  <c r="AJ85" i="6"/>
  <c r="AK20" i="6"/>
  <c r="AO88" i="6"/>
  <c r="AL53" i="1"/>
  <c r="AI36" i="6"/>
  <c r="AG21" i="6"/>
  <c r="AF29" i="6"/>
  <c r="AD56" i="1" s="1"/>
  <c r="AF18" i="6"/>
  <c r="AD47" i="1" s="1"/>
  <c r="H7" i="1"/>
  <c r="T87" i="6"/>
  <c r="G11" i="1"/>
  <c r="I10" i="6" s="1"/>
  <c r="G220" i="3"/>
  <c r="I74" i="3"/>
  <c r="I147" i="3"/>
  <c r="G221" i="3"/>
  <c r="G29" i="1" s="1"/>
  <c r="H78" i="3"/>
  <c r="I139" i="3"/>
  <c r="I140" i="3"/>
  <c r="I72" i="3"/>
  <c r="I215" i="3" s="1"/>
  <c r="I71" i="3"/>
  <c r="I214" i="3" s="1"/>
  <c r="I54" i="3"/>
  <c r="I197" i="3" s="1"/>
  <c r="I59" i="3"/>
  <c r="I202" i="3" s="1"/>
  <c r="I55" i="3"/>
  <c r="I198" i="3" s="1"/>
  <c r="I65" i="3"/>
  <c r="I208" i="3" s="1"/>
  <c r="I67" i="3"/>
  <c r="I210" i="3" s="1"/>
  <c r="I126" i="3"/>
  <c r="I62" i="3"/>
  <c r="I205" i="3" s="1"/>
  <c r="I124" i="3"/>
  <c r="I68" i="3"/>
  <c r="I211" i="3" s="1"/>
  <c r="I66" i="3"/>
  <c r="I209" i="3" s="1"/>
  <c r="I56" i="3"/>
  <c r="I199" i="3" s="1"/>
  <c r="I58" i="3"/>
  <c r="I201" i="3" s="1"/>
  <c r="I118" i="3"/>
  <c r="I61" i="3"/>
  <c r="I204" i="3" s="1"/>
  <c r="I60" i="3"/>
  <c r="I203" i="3" s="1"/>
  <c r="I57" i="3"/>
  <c r="I200" i="3" s="1"/>
  <c r="I64" i="3"/>
  <c r="I207" i="3" s="1"/>
  <c r="I69" i="3"/>
  <c r="I212" i="3" s="1"/>
  <c r="I70" i="3"/>
  <c r="I213" i="3" s="1"/>
  <c r="I63" i="3"/>
  <c r="I206" i="3" s="1"/>
  <c r="I53" i="3"/>
  <c r="I196" i="3" s="1"/>
  <c r="I123" i="3"/>
  <c r="I128" i="3"/>
  <c r="I129" i="3"/>
  <c r="I130" i="3"/>
  <c r="I125" i="3"/>
  <c r="I127" i="3"/>
  <c r="I136" i="3"/>
  <c r="I137" i="3"/>
  <c r="I121" i="3"/>
  <c r="I134" i="3"/>
  <c r="I131" i="3"/>
  <c r="I122" i="3"/>
  <c r="I135" i="3"/>
  <c r="I138" i="3"/>
  <c r="I119" i="3"/>
  <c r="I133" i="3"/>
  <c r="I132" i="3"/>
  <c r="I50" i="3"/>
  <c r="I193" i="3" s="1"/>
  <c r="I51" i="3"/>
  <c r="I194" i="3" s="1"/>
  <c r="H36" i="1"/>
  <c r="I114" i="3"/>
  <c r="I88" i="3"/>
  <c r="I93" i="3"/>
  <c r="I96" i="3"/>
  <c r="I113" i="3"/>
  <c r="I87" i="3"/>
  <c r="I110" i="3"/>
  <c r="I100" i="3"/>
  <c r="I101" i="3"/>
  <c r="I92" i="3"/>
  <c r="I109" i="3"/>
  <c r="I106" i="3"/>
  <c r="I112" i="3"/>
  <c r="I108" i="3"/>
  <c r="I91" i="3"/>
  <c r="I104" i="3"/>
  <c r="I98" i="3"/>
  <c r="I94" i="3"/>
  <c r="I107" i="3"/>
  <c r="I116" i="3"/>
  <c r="I89" i="3"/>
  <c r="I111" i="3"/>
  <c r="I97" i="3"/>
  <c r="I90" i="3"/>
  <c r="I102" i="3"/>
  <c r="I115" i="3"/>
  <c r="I95" i="3"/>
  <c r="I99" i="3"/>
  <c r="I105" i="3"/>
  <c r="I117" i="3"/>
  <c r="G57" i="4"/>
  <c r="H57" i="4"/>
  <c r="G56" i="4"/>
  <c r="G65" i="4"/>
  <c r="H66" i="4"/>
  <c r="M75" i="1"/>
  <c r="N75" i="1" s="1"/>
  <c r="G64" i="4"/>
  <c r="C188" i="3"/>
  <c r="H45" i="4"/>
  <c r="G49" i="4"/>
  <c r="G71" i="1"/>
  <c r="J45" i="4"/>
  <c r="G45" i="4"/>
  <c r="I49" i="4"/>
  <c r="H218" i="3"/>
  <c r="H142" i="3"/>
  <c r="I12" i="3"/>
  <c r="H163" i="3"/>
  <c r="H192" i="3"/>
  <c r="I46" i="3"/>
  <c r="I189" i="3" s="1"/>
  <c r="I44" i="3"/>
  <c r="I187" i="3" s="1"/>
  <c r="I49" i="3"/>
  <c r="I42" i="3"/>
  <c r="I185" i="3" s="1"/>
  <c r="I45" i="3"/>
  <c r="I188" i="3" s="1"/>
  <c r="I41" i="3"/>
  <c r="I184" i="3" s="1"/>
  <c r="I47" i="3"/>
  <c r="I190" i="3" s="1"/>
  <c r="I43" i="3"/>
  <c r="I186" i="3" s="1"/>
  <c r="I48" i="3"/>
  <c r="I191" i="3" s="1"/>
  <c r="I40" i="3"/>
  <c r="I183" i="3" s="1"/>
  <c r="I27" i="3"/>
  <c r="I170" i="3" s="1"/>
  <c r="I30" i="3"/>
  <c r="I173" i="3" s="1"/>
  <c r="I22" i="3"/>
  <c r="I20" i="3"/>
  <c r="I29" i="3"/>
  <c r="I172" i="3" s="1"/>
  <c r="I25" i="3"/>
  <c r="I168" i="3" s="1"/>
  <c r="I36" i="3"/>
  <c r="I179" i="3" s="1"/>
  <c r="I33" i="3"/>
  <c r="I176" i="3" s="1"/>
  <c r="I38" i="3"/>
  <c r="I181" i="3" s="1"/>
  <c r="I26" i="3"/>
  <c r="I169" i="3" s="1"/>
  <c r="I21" i="3"/>
  <c r="I37" i="3"/>
  <c r="I180" i="3" s="1"/>
  <c r="I28" i="3"/>
  <c r="I171" i="3" s="1"/>
  <c r="I31" i="3"/>
  <c r="I174" i="3" s="1"/>
  <c r="I24" i="3"/>
  <c r="I167" i="3" s="1"/>
  <c r="I23" i="3"/>
  <c r="I166" i="3" s="1"/>
  <c r="I34" i="3"/>
  <c r="I177" i="3" s="1"/>
  <c r="I32" i="3"/>
  <c r="I175" i="3" s="1"/>
  <c r="I39" i="3"/>
  <c r="I182" i="3" s="1"/>
  <c r="I19" i="3"/>
  <c r="I162" i="3" s="1"/>
  <c r="C46" i="3"/>
  <c r="C114" i="3" s="1"/>
  <c r="M67" i="1"/>
  <c r="N67" i="1" s="1"/>
  <c r="O67" i="1" s="1"/>
  <c r="N18" i="6"/>
  <c r="L47" i="1" s="1"/>
  <c r="P68" i="1"/>
  <c r="Q68" i="1" s="1"/>
  <c r="J5" i="3"/>
  <c r="J79" i="3" s="1"/>
  <c r="P77" i="1"/>
  <c r="Q77" i="1" s="1"/>
  <c r="S70" i="1"/>
  <c r="T70" i="1" s="1"/>
  <c r="U70" i="1" s="1"/>
  <c r="M76" i="1"/>
  <c r="N76" i="1" s="1"/>
  <c r="O76" i="1" s="1"/>
  <c r="I5" i="1"/>
  <c r="H8" i="1" l="1"/>
  <c r="J7" i="6"/>
  <c r="AJ36" i="6"/>
  <c r="AP88" i="6"/>
  <c r="AM53" i="1"/>
  <c r="AK85" i="6"/>
  <c r="AH21" i="6"/>
  <c r="AG29" i="6"/>
  <c r="AE56" i="1" s="1"/>
  <c r="AG18" i="6"/>
  <c r="AE47" i="1" s="1"/>
  <c r="AL20" i="6"/>
  <c r="F7" i="4"/>
  <c r="F8" i="4" s="1"/>
  <c r="J8" i="6"/>
  <c r="I7" i="1"/>
  <c r="U87" i="6"/>
  <c r="H11" i="1"/>
  <c r="J10" i="6" s="1"/>
  <c r="H220" i="3"/>
  <c r="J74" i="3"/>
  <c r="J147" i="3"/>
  <c r="I78" i="3"/>
  <c r="J140" i="3"/>
  <c r="J139" i="3"/>
  <c r="J70" i="3"/>
  <c r="J213" i="3" s="1"/>
  <c r="J133" i="3"/>
  <c r="J124" i="3"/>
  <c r="J118" i="3"/>
  <c r="J119" i="3"/>
  <c r="J123" i="3"/>
  <c r="J64" i="3"/>
  <c r="J207" i="3" s="1"/>
  <c r="J137" i="3"/>
  <c r="J131" i="3"/>
  <c r="J126" i="3"/>
  <c r="J67" i="3"/>
  <c r="J210" i="3" s="1"/>
  <c r="J63" i="3"/>
  <c r="J206" i="3" s="1"/>
  <c r="J66" i="3"/>
  <c r="J209" i="3" s="1"/>
  <c r="J54" i="3"/>
  <c r="J197" i="3" s="1"/>
  <c r="J60" i="3"/>
  <c r="J203" i="3" s="1"/>
  <c r="J59" i="3"/>
  <c r="J202" i="3" s="1"/>
  <c r="J69" i="3"/>
  <c r="J212" i="3" s="1"/>
  <c r="J72" i="3"/>
  <c r="J215" i="3" s="1"/>
  <c r="J56" i="3"/>
  <c r="J199" i="3" s="1"/>
  <c r="J65" i="3"/>
  <c r="J208" i="3" s="1"/>
  <c r="J57" i="3"/>
  <c r="J200" i="3" s="1"/>
  <c r="J55" i="3"/>
  <c r="J198" i="3" s="1"/>
  <c r="J68" i="3"/>
  <c r="J211" i="3" s="1"/>
  <c r="J61" i="3"/>
  <c r="J204" i="3" s="1"/>
  <c r="J62" i="3"/>
  <c r="J205" i="3" s="1"/>
  <c r="J53" i="3"/>
  <c r="J196" i="3" s="1"/>
  <c r="J58" i="3"/>
  <c r="J201" i="3" s="1"/>
  <c r="J71" i="3"/>
  <c r="J214" i="3" s="1"/>
  <c r="J127" i="3"/>
  <c r="J121" i="3"/>
  <c r="J138" i="3"/>
  <c r="J135" i="3"/>
  <c r="J134" i="3"/>
  <c r="J122" i="3"/>
  <c r="J130" i="3"/>
  <c r="J128" i="3"/>
  <c r="J129" i="3"/>
  <c r="J125" i="3"/>
  <c r="J136" i="3"/>
  <c r="J132" i="3"/>
  <c r="J51" i="3"/>
  <c r="J194" i="3" s="1"/>
  <c r="J50" i="3"/>
  <c r="J193" i="3" s="1"/>
  <c r="H64" i="4"/>
  <c r="J110" i="3"/>
  <c r="J92" i="3"/>
  <c r="J106" i="3"/>
  <c r="J114" i="3"/>
  <c r="J87" i="3"/>
  <c r="J93" i="3"/>
  <c r="J96" i="3"/>
  <c r="J101" i="3"/>
  <c r="J100" i="3"/>
  <c r="J91" i="3"/>
  <c r="J88" i="3"/>
  <c r="J113" i="3"/>
  <c r="J97" i="3"/>
  <c r="J89" i="3"/>
  <c r="J94" i="3"/>
  <c r="J104" i="3"/>
  <c r="J116" i="3"/>
  <c r="J98" i="3"/>
  <c r="J107" i="3"/>
  <c r="J102" i="3"/>
  <c r="J90" i="3"/>
  <c r="J115" i="3"/>
  <c r="J111" i="3"/>
  <c r="J112" i="3"/>
  <c r="J108" i="3"/>
  <c r="J105" i="3"/>
  <c r="J117" i="3"/>
  <c r="J99" i="3"/>
  <c r="J95" i="3"/>
  <c r="J109" i="3"/>
  <c r="F35" i="4"/>
  <c r="I36" i="1"/>
  <c r="H65" i="4"/>
  <c r="I66" i="4"/>
  <c r="F73" i="2" s="1"/>
  <c r="H56" i="4"/>
  <c r="I57" i="4"/>
  <c r="O75" i="1"/>
  <c r="P75" i="1" s="1"/>
  <c r="Q75" i="1" s="1"/>
  <c r="C189" i="3"/>
  <c r="J59" i="4"/>
  <c r="F55" i="2"/>
  <c r="I45" i="4"/>
  <c r="F51" i="2" s="1"/>
  <c r="K45" i="4"/>
  <c r="H148" i="3"/>
  <c r="I142" i="3"/>
  <c r="H221" i="3"/>
  <c r="H29" i="1" s="1"/>
  <c r="F29" i="4" s="1"/>
  <c r="J12" i="3"/>
  <c r="J36" i="1"/>
  <c r="I192" i="3"/>
  <c r="I164" i="3"/>
  <c r="I165" i="3"/>
  <c r="I218" i="3"/>
  <c r="I163" i="3"/>
  <c r="J48" i="3"/>
  <c r="J191" i="3" s="1"/>
  <c r="J40" i="3"/>
  <c r="J183" i="3" s="1"/>
  <c r="J47" i="3"/>
  <c r="J190" i="3" s="1"/>
  <c r="J43" i="3"/>
  <c r="J186" i="3" s="1"/>
  <c r="J42" i="3"/>
  <c r="J185" i="3" s="1"/>
  <c r="J49" i="3"/>
  <c r="J45" i="3"/>
  <c r="J188" i="3" s="1"/>
  <c r="J41" i="3"/>
  <c r="J184" i="3" s="1"/>
  <c r="J44" i="3"/>
  <c r="J187" i="3" s="1"/>
  <c r="J46" i="3"/>
  <c r="J189" i="3" s="1"/>
  <c r="J34" i="3"/>
  <c r="J177" i="3" s="1"/>
  <c r="J22" i="3"/>
  <c r="J28" i="3"/>
  <c r="J171" i="3" s="1"/>
  <c r="J24" i="3"/>
  <c r="J167" i="3" s="1"/>
  <c r="J39" i="3"/>
  <c r="J182" i="3" s="1"/>
  <c r="J20" i="3"/>
  <c r="J32" i="3"/>
  <c r="J175" i="3" s="1"/>
  <c r="J29" i="3"/>
  <c r="J172" i="3" s="1"/>
  <c r="J21" i="3"/>
  <c r="J30" i="3"/>
  <c r="J173" i="3" s="1"/>
  <c r="J26" i="3"/>
  <c r="J169" i="3" s="1"/>
  <c r="J25" i="3"/>
  <c r="J168" i="3" s="1"/>
  <c r="J33" i="3"/>
  <c r="J176" i="3" s="1"/>
  <c r="J31" i="3"/>
  <c r="J174" i="3" s="1"/>
  <c r="J37" i="3"/>
  <c r="J180" i="3" s="1"/>
  <c r="J36" i="3"/>
  <c r="J179" i="3" s="1"/>
  <c r="J27" i="3"/>
  <c r="J170" i="3" s="1"/>
  <c r="J38" i="3"/>
  <c r="J181" i="3" s="1"/>
  <c r="J23" i="3"/>
  <c r="J19" i="3"/>
  <c r="J162" i="3" s="1"/>
  <c r="C47" i="3"/>
  <c r="C115" i="3" s="1"/>
  <c r="P67" i="1"/>
  <c r="Q67" i="1" s="1"/>
  <c r="J5" i="1"/>
  <c r="V70" i="1"/>
  <c r="W70" i="1" s="1"/>
  <c r="X70" i="1" s="1"/>
  <c r="S77" i="1"/>
  <c r="T77" i="1" s="1"/>
  <c r="U77" i="1" s="1"/>
  <c r="K5" i="3"/>
  <c r="K79" i="3" s="1"/>
  <c r="O18" i="6"/>
  <c r="M47" i="1" s="1"/>
  <c r="S69" i="1"/>
  <c r="T69" i="1" s="1"/>
  <c r="U69" i="1" s="1"/>
  <c r="P76" i="1"/>
  <c r="Q76" i="1" s="1"/>
  <c r="S68" i="1"/>
  <c r="T68" i="1" s="1"/>
  <c r="U68" i="1" s="1"/>
  <c r="H71" i="1" l="1"/>
  <c r="F60" i="4" s="1"/>
  <c r="K7" i="6"/>
  <c r="AK36" i="6"/>
  <c r="AI21" i="6"/>
  <c r="AH29" i="6"/>
  <c r="AF56" i="1" s="1"/>
  <c r="AH18" i="6"/>
  <c r="AF47" i="1" s="1"/>
  <c r="AQ88" i="6"/>
  <c r="AO53" i="1" s="1"/>
  <c r="AN53" i="1"/>
  <c r="AL85" i="6"/>
  <c r="AM20" i="6"/>
  <c r="I8" i="1"/>
  <c r="J7" i="1"/>
  <c r="V87" i="6"/>
  <c r="I11" i="1"/>
  <c r="K10" i="6" s="1"/>
  <c r="I220" i="3"/>
  <c r="K74" i="3"/>
  <c r="K218" i="3" s="1"/>
  <c r="K147" i="3"/>
  <c r="J78" i="3"/>
  <c r="K140" i="3"/>
  <c r="K125" i="3"/>
  <c r="K126" i="3"/>
  <c r="K139" i="3"/>
  <c r="K122" i="3"/>
  <c r="K67" i="3"/>
  <c r="K210" i="3" s="1"/>
  <c r="K59" i="3"/>
  <c r="K202" i="3" s="1"/>
  <c r="K69" i="3"/>
  <c r="K212" i="3" s="1"/>
  <c r="K118" i="3"/>
  <c r="K123" i="3"/>
  <c r="K55" i="3"/>
  <c r="K198" i="3" s="1"/>
  <c r="K70" i="3"/>
  <c r="K213" i="3" s="1"/>
  <c r="K68" i="3"/>
  <c r="K211" i="3" s="1"/>
  <c r="K54" i="3"/>
  <c r="K197" i="3" s="1"/>
  <c r="K124" i="3"/>
  <c r="K127" i="3"/>
  <c r="K58" i="3"/>
  <c r="K201" i="3" s="1"/>
  <c r="K60" i="3"/>
  <c r="K203" i="3" s="1"/>
  <c r="K56" i="3"/>
  <c r="K199" i="3" s="1"/>
  <c r="K62" i="3"/>
  <c r="K205" i="3" s="1"/>
  <c r="K63" i="3"/>
  <c r="K206" i="3" s="1"/>
  <c r="K57" i="3"/>
  <c r="K200" i="3" s="1"/>
  <c r="K71" i="3"/>
  <c r="K214" i="3" s="1"/>
  <c r="K72" i="3"/>
  <c r="K215" i="3" s="1"/>
  <c r="K65" i="3"/>
  <c r="K208" i="3" s="1"/>
  <c r="K66" i="3"/>
  <c r="K209" i="3" s="1"/>
  <c r="K64" i="3"/>
  <c r="K207" i="3" s="1"/>
  <c r="K53" i="3"/>
  <c r="K196" i="3" s="1"/>
  <c r="K61" i="3"/>
  <c r="K204" i="3" s="1"/>
  <c r="K137" i="3"/>
  <c r="K129" i="3"/>
  <c r="K134" i="3"/>
  <c r="K136" i="3"/>
  <c r="K138" i="3"/>
  <c r="K119" i="3"/>
  <c r="K128" i="3"/>
  <c r="K121" i="3"/>
  <c r="K131" i="3"/>
  <c r="K133" i="3"/>
  <c r="K135" i="3"/>
  <c r="K132" i="3"/>
  <c r="K130" i="3"/>
  <c r="K50" i="3"/>
  <c r="K193" i="3" s="1"/>
  <c r="K51" i="3"/>
  <c r="K194" i="3" s="1"/>
  <c r="K237" i="3"/>
  <c r="K101" i="3"/>
  <c r="K93" i="3"/>
  <c r="K88" i="3"/>
  <c r="K113" i="3"/>
  <c r="K97" i="3"/>
  <c r="K100" i="3"/>
  <c r="K96" i="3"/>
  <c r="K92" i="3"/>
  <c r="K114" i="3"/>
  <c r="K87" i="3"/>
  <c r="K91" i="3"/>
  <c r="K104" i="3"/>
  <c r="K116" i="3"/>
  <c r="K89" i="3"/>
  <c r="K106" i="3"/>
  <c r="K112" i="3"/>
  <c r="K108" i="3"/>
  <c r="K98" i="3"/>
  <c r="K90" i="3"/>
  <c r="K107" i="3"/>
  <c r="K102" i="3"/>
  <c r="K94" i="3"/>
  <c r="K115" i="3"/>
  <c r="K99" i="3"/>
  <c r="K95" i="3"/>
  <c r="K105" i="3"/>
  <c r="K117" i="3"/>
  <c r="K110" i="3"/>
  <c r="K109" i="3"/>
  <c r="K111" i="3"/>
  <c r="J58" i="4"/>
  <c r="K59" i="4"/>
  <c r="J57" i="4"/>
  <c r="I56" i="4"/>
  <c r="J66" i="4"/>
  <c r="I65" i="4"/>
  <c r="S75" i="1"/>
  <c r="T75" i="1" s="1"/>
  <c r="U75" i="1" s="1"/>
  <c r="I64" i="4"/>
  <c r="F71" i="2" s="1"/>
  <c r="C190" i="3"/>
  <c r="L45" i="4"/>
  <c r="I148" i="3"/>
  <c r="J142" i="3"/>
  <c r="K12" i="3"/>
  <c r="I221" i="3"/>
  <c r="I29" i="1" s="1"/>
  <c r="J166" i="3"/>
  <c r="J163" i="3"/>
  <c r="J165" i="3"/>
  <c r="J192" i="3"/>
  <c r="J164" i="3"/>
  <c r="J218" i="3"/>
  <c r="K48" i="3"/>
  <c r="K191" i="3" s="1"/>
  <c r="K44" i="3"/>
  <c r="K187" i="3" s="1"/>
  <c r="K46" i="3"/>
  <c r="K189" i="3" s="1"/>
  <c r="K47" i="3"/>
  <c r="K190" i="3" s="1"/>
  <c r="K41" i="3"/>
  <c r="K184" i="3" s="1"/>
  <c r="K40" i="3"/>
  <c r="K183" i="3" s="1"/>
  <c r="K43" i="3"/>
  <c r="K186" i="3" s="1"/>
  <c r="K49" i="3"/>
  <c r="K42" i="3"/>
  <c r="K185" i="3" s="1"/>
  <c r="K45" i="3"/>
  <c r="K188" i="3" s="1"/>
  <c r="K19" i="3"/>
  <c r="K162" i="3" s="1"/>
  <c r="K24" i="3"/>
  <c r="K23" i="3"/>
  <c r="K34" i="3"/>
  <c r="K177" i="3" s="1"/>
  <c r="K30" i="3"/>
  <c r="K173" i="3" s="1"/>
  <c r="K29" i="3"/>
  <c r="K172" i="3" s="1"/>
  <c r="K39" i="3"/>
  <c r="K182" i="3" s="1"/>
  <c r="K32" i="3"/>
  <c r="K175" i="3" s="1"/>
  <c r="K22" i="3"/>
  <c r="K37" i="3"/>
  <c r="K180" i="3" s="1"/>
  <c r="K26" i="3"/>
  <c r="K169" i="3" s="1"/>
  <c r="K20" i="3"/>
  <c r="K31" i="3"/>
  <c r="K174" i="3" s="1"/>
  <c r="K21" i="3"/>
  <c r="K38" i="3"/>
  <c r="K181" i="3" s="1"/>
  <c r="K27" i="3"/>
  <c r="K170" i="3" s="1"/>
  <c r="K36" i="3"/>
  <c r="K179" i="3" s="1"/>
  <c r="K28" i="3"/>
  <c r="K171" i="3" s="1"/>
  <c r="K25" i="3"/>
  <c r="K168" i="3" s="1"/>
  <c r="K33" i="3"/>
  <c r="K176" i="3" s="1"/>
  <c r="C48" i="3"/>
  <c r="C116" i="3" s="1"/>
  <c r="S76" i="1"/>
  <c r="T76" i="1" s="1"/>
  <c r="U76" i="1" s="1"/>
  <c r="Y70" i="1"/>
  <c r="Z70" i="1" s="1"/>
  <c r="AA70" i="1" s="1"/>
  <c r="K5" i="1"/>
  <c r="V68" i="1"/>
  <c r="W68" i="1" s="1"/>
  <c r="X68" i="1" s="1"/>
  <c r="V77" i="1"/>
  <c r="W77" i="1" s="1"/>
  <c r="X77" i="1" s="1"/>
  <c r="V69" i="1"/>
  <c r="W69" i="1" s="1"/>
  <c r="X69" i="1" s="1"/>
  <c r="P18" i="6"/>
  <c r="N47" i="1" s="1"/>
  <c r="L5" i="3"/>
  <c r="L79" i="3" s="1"/>
  <c r="S67" i="1"/>
  <c r="T67" i="1" s="1"/>
  <c r="U67" i="1" s="1"/>
  <c r="I71" i="1" l="1"/>
  <c r="L7" i="6"/>
  <c r="AJ21" i="6"/>
  <c r="AI29" i="6"/>
  <c r="AG56" i="1" s="1"/>
  <c r="AI18" i="6"/>
  <c r="AG47" i="1" s="1"/>
  <c r="AM85" i="6"/>
  <c r="AL36" i="6"/>
  <c r="AN20" i="6"/>
  <c r="J8" i="1"/>
  <c r="K8" i="6"/>
  <c r="W87" i="6"/>
  <c r="J11" i="1"/>
  <c r="L10" i="6" s="1"/>
  <c r="J220" i="3"/>
  <c r="L74" i="3"/>
  <c r="L147" i="3"/>
  <c r="K78" i="3"/>
  <c r="L140" i="3"/>
  <c r="L139" i="3"/>
  <c r="L118" i="3"/>
  <c r="L54" i="3"/>
  <c r="L197" i="3" s="1"/>
  <c r="L123" i="3"/>
  <c r="L127" i="3"/>
  <c r="L55" i="3"/>
  <c r="L198" i="3" s="1"/>
  <c r="L126" i="3"/>
  <c r="L121" i="3"/>
  <c r="L71" i="3"/>
  <c r="L214" i="3" s="1"/>
  <c r="L58" i="3"/>
  <c r="L201" i="3" s="1"/>
  <c r="L65" i="3"/>
  <c r="L208" i="3" s="1"/>
  <c r="L72" i="3"/>
  <c r="L215" i="3" s="1"/>
  <c r="L63" i="3"/>
  <c r="L206" i="3" s="1"/>
  <c r="L56" i="3"/>
  <c r="L199" i="3" s="1"/>
  <c r="L66" i="3"/>
  <c r="L209" i="3" s="1"/>
  <c r="L62" i="3"/>
  <c r="L205" i="3" s="1"/>
  <c r="L67" i="3"/>
  <c r="L210" i="3" s="1"/>
  <c r="L70" i="3"/>
  <c r="L213" i="3" s="1"/>
  <c r="L69" i="3"/>
  <c r="L212" i="3" s="1"/>
  <c r="L60" i="3"/>
  <c r="L203" i="3" s="1"/>
  <c r="L64" i="3"/>
  <c r="L207" i="3" s="1"/>
  <c r="L68" i="3"/>
  <c r="L211" i="3" s="1"/>
  <c r="L59" i="3"/>
  <c r="L202" i="3" s="1"/>
  <c r="L61" i="3"/>
  <c r="L204" i="3" s="1"/>
  <c r="L57" i="3"/>
  <c r="L200" i="3" s="1"/>
  <c r="L53" i="3"/>
  <c r="L196" i="3" s="1"/>
  <c r="L125" i="3"/>
  <c r="L130" i="3"/>
  <c r="L131" i="3"/>
  <c r="L124" i="3"/>
  <c r="L122" i="3"/>
  <c r="L128" i="3"/>
  <c r="L119" i="3"/>
  <c r="L134" i="3"/>
  <c r="L133" i="3"/>
  <c r="L135" i="3"/>
  <c r="L136" i="3"/>
  <c r="L129" i="3"/>
  <c r="L138" i="3"/>
  <c r="L132" i="3"/>
  <c r="L137" i="3"/>
  <c r="L51" i="3"/>
  <c r="L194" i="3" s="1"/>
  <c r="L50" i="3"/>
  <c r="L193" i="3" s="1"/>
  <c r="J64" i="4"/>
  <c r="L237" i="3"/>
  <c r="L92" i="3"/>
  <c r="L101" i="3"/>
  <c r="L93" i="3"/>
  <c r="L106" i="3"/>
  <c r="L114" i="3"/>
  <c r="L96" i="3"/>
  <c r="L97" i="3"/>
  <c r="L100" i="3"/>
  <c r="L91" i="3"/>
  <c r="L116" i="3"/>
  <c r="L87" i="3"/>
  <c r="L90" i="3"/>
  <c r="L115" i="3"/>
  <c r="L104" i="3"/>
  <c r="L108" i="3"/>
  <c r="L94" i="3"/>
  <c r="L88" i="3"/>
  <c r="L89" i="3"/>
  <c r="L102" i="3"/>
  <c r="L98" i="3"/>
  <c r="L107" i="3"/>
  <c r="L95" i="3"/>
  <c r="L105" i="3"/>
  <c r="L99" i="3"/>
  <c r="L117" i="3"/>
  <c r="L109" i="3"/>
  <c r="L110" i="3"/>
  <c r="L111" i="3"/>
  <c r="L112" i="3"/>
  <c r="L113" i="3"/>
  <c r="K66" i="4"/>
  <c r="K58" i="4"/>
  <c r="J65" i="4"/>
  <c r="K57" i="4"/>
  <c r="V75" i="1"/>
  <c r="W75" i="1" s="1"/>
  <c r="X75" i="1" s="1"/>
  <c r="C191" i="3"/>
  <c r="J56" i="4"/>
  <c r="L59" i="4"/>
  <c r="M45" i="4"/>
  <c r="G51" i="2" s="1"/>
  <c r="K232" i="3"/>
  <c r="K7" i="1"/>
  <c r="M7" i="6" s="1"/>
  <c r="J148" i="3"/>
  <c r="K142" i="3"/>
  <c r="L12" i="3"/>
  <c r="J221" i="3"/>
  <c r="J29" i="1" s="1"/>
  <c r="K163" i="3"/>
  <c r="K164" i="3"/>
  <c r="K167" i="3"/>
  <c r="K192" i="3"/>
  <c r="K165" i="3"/>
  <c r="K166" i="3"/>
  <c r="L40" i="3"/>
  <c r="L183" i="3" s="1"/>
  <c r="L49" i="3"/>
  <c r="L45" i="3"/>
  <c r="L188" i="3" s="1"/>
  <c r="L41" i="3"/>
  <c r="L184" i="3" s="1"/>
  <c r="L42" i="3"/>
  <c r="L185" i="3" s="1"/>
  <c r="L48" i="3"/>
  <c r="L191" i="3" s="1"/>
  <c r="L47" i="3"/>
  <c r="L190" i="3" s="1"/>
  <c r="L46" i="3"/>
  <c r="L189" i="3" s="1"/>
  <c r="L44" i="3"/>
  <c r="L187" i="3" s="1"/>
  <c r="L43" i="3"/>
  <c r="L186" i="3" s="1"/>
  <c r="L33" i="3"/>
  <c r="L176" i="3" s="1"/>
  <c r="L30" i="3"/>
  <c r="L173" i="3" s="1"/>
  <c r="L31" i="3"/>
  <c r="L174" i="3" s="1"/>
  <c r="L25" i="3"/>
  <c r="L29" i="3"/>
  <c r="L172" i="3" s="1"/>
  <c r="L27" i="3"/>
  <c r="L170" i="3" s="1"/>
  <c r="L26" i="3"/>
  <c r="L169" i="3" s="1"/>
  <c r="L21" i="3"/>
  <c r="L37" i="3"/>
  <c r="L180" i="3" s="1"/>
  <c r="L22" i="3"/>
  <c r="L38" i="3"/>
  <c r="L181" i="3" s="1"/>
  <c r="L36" i="3"/>
  <c r="L179" i="3" s="1"/>
  <c r="L23" i="3"/>
  <c r="L32" i="3"/>
  <c r="L175" i="3" s="1"/>
  <c r="L34" i="3"/>
  <c r="L177" i="3" s="1"/>
  <c r="L28" i="3"/>
  <c r="L171" i="3" s="1"/>
  <c r="L39" i="3"/>
  <c r="L182" i="3" s="1"/>
  <c r="L19" i="3"/>
  <c r="L162" i="3" s="1"/>
  <c r="L24" i="3"/>
  <c r="L20" i="3"/>
  <c r="V67" i="1"/>
  <c r="W67" i="1" s="1"/>
  <c r="X67" i="1" s="1"/>
  <c r="Y68" i="1"/>
  <c r="Z68" i="1" s="1"/>
  <c r="AA68" i="1" s="1"/>
  <c r="Y69" i="1"/>
  <c r="Z69" i="1" s="1"/>
  <c r="AA69" i="1" s="1"/>
  <c r="Q18" i="6"/>
  <c r="O47" i="1" s="1"/>
  <c r="V76" i="1"/>
  <c r="W76" i="1" s="1"/>
  <c r="X76" i="1" s="1"/>
  <c r="M5" i="3"/>
  <c r="Y77" i="1"/>
  <c r="Z77" i="1" s="1"/>
  <c r="AA77" i="1" s="1"/>
  <c r="L5" i="1"/>
  <c r="AB70" i="1"/>
  <c r="AC70" i="1" s="1"/>
  <c r="AM36" i="6" l="1"/>
  <c r="AO20" i="6"/>
  <c r="AN85" i="6"/>
  <c r="AK21" i="6"/>
  <c r="AJ18" i="6"/>
  <c r="AH47" i="1" s="1"/>
  <c r="AJ29" i="6"/>
  <c r="AH56" i="1" s="1"/>
  <c r="K8" i="1"/>
  <c r="L8" i="6"/>
  <c r="X87" i="6"/>
  <c r="K64" i="4"/>
  <c r="K11" i="1"/>
  <c r="M10" i="6" s="1"/>
  <c r="K220" i="3"/>
  <c r="L78" i="3"/>
  <c r="M140" i="3"/>
  <c r="M139" i="3"/>
  <c r="M67" i="3"/>
  <c r="M210" i="3" s="1"/>
  <c r="M118" i="3"/>
  <c r="M126" i="3"/>
  <c r="M63" i="3"/>
  <c r="M206" i="3" s="1"/>
  <c r="M61" i="3"/>
  <c r="M204" i="3" s="1"/>
  <c r="M129" i="3"/>
  <c r="M119" i="3"/>
  <c r="M62" i="3"/>
  <c r="M205" i="3" s="1"/>
  <c r="M123" i="3"/>
  <c r="M55" i="3"/>
  <c r="M198" i="3" s="1"/>
  <c r="M71" i="3"/>
  <c r="M214" i="3" s="1"/>
  <c r="M72" i="3"/>
  <c r="M215" i="3" s="1"/>
  <c r="M69" i="3"/>
  <c r="M212" i="3" s="1"/>
  <c r="M64" i="3"/>
  <c r="M207" i="3" s="1"/>
  <c r="M60" i="3"/>
  <c r="M203" i="3" s="1"/>
  <c r="M57" i="3"/>
  <c r="M200" i="3" s="1"/>
  <c r="M121" i="3"/>
  <c r="M70" i="3"/>
  <c r="M213" i="3" s="1"/>
  <c r="M59" i="3"/>
  <c r="M202" i="3" s="1"/>
  <c r="M68" i="3"/>
  <c r="M211" i="3" s="1"/>
  <c r="M65" i="3"/>
  <c r="M208" i="3" s="1"/>
  <c r="M56" i="3"/>
  <c r="M199" i="3" s="1"/>
  <c r="M54" i="3"/>
  <c r="M197" i="3" s="1"/>
  <c r="M58" i="3"/>
  <c r="M201" i="3" s="1"/>
  <c r="M53" i="3"/>
  <c r="M196" i="3" s="1"/>
  <c r="M66" i="3"/>
  <c r="M209" i="3" s="1"/>
  <c r="M130" i="3"/>
  <c r="M124" i="3"/>
  <c r="M125" i="3"/>
  <c r="M122" i="3"/>
  <c r="M133" i="3"/>
  <c r="M135" i="3"/>
  <c r="M128" i="3"/>
  <c r="M127" i="3"/>
  <c r="M136" i="3"/>
  <c r="M132" i="3"/>
  <c r="M137" i="3"/>
  <c r="M131" i="3"/>
  <c r="M134" i="3"/>
  <c r="M138" i="3"/>
  <c r="M51" i="3"/>
  <c r="M194" i="3" s="1"/>
  <c r="M50" i="3"/>
  <c r="M193" i="3" s="1"/>
  <c r="M237" i="3"/>
  <c r="M88" i="3"/>
  <c r="M101" i="3"/>
  <c r="M92" i="3"/>
  <c r="M96" i="3"/>
  <c r="M104" i="3"/>
  <c r="M93" i="3"/>
  <c r="M100" i="3"/>
  <c r="M106" i="3"/>
  <c r="M97" i="3"/>
  <c r="M87" i="3"/>
  <c r="M91" i="3"/>
  <c r="M116" i="3"/>
  <c r="M89" i="3"/>
  <c r="M102" i="3"/>
  <c r="M90" i="3"/>
  <c r="M108" i="3"/>
  <c r="M98" i="3"/>
  <c r="M94" i="3"/>
  <c r="M107" i="3"/>
  <c r="M117" i="3"/>
  <c r="M105" i="3"/>
  <c r="M95" i="3"/>
  <c r="M99" i="3"/>
  <c r="M110" i="3"/>
  <c r="M109" i="3"/>
  <c r="M111" i="3"/>
  <c r="M112" i="3"/>
  <c r="M113" i="3"/>
  <c r="M114" i="3"/>
  <c r="M115" i="3"/>
  <c r="L57" i="4"/>
  <c r="K65" i="4"/>
  <c r="L66" i="4"/>
  <c r="Y75" i="1"/>
  <c r="Z75" i="1" s="1"/>
  <c r="AA75" i="1" s="1"/>
  <c r="C49" i="3"/>
  <c r="K56" i="4"/>
  <c r="L58" i="4"/>
  <c r="M59" i="4"/>
  <c r="L232" i="3"/>
  <c r="L22" i="1" s="1"/>
  <c r="L7" i="1"/>
  <c r="N7" i="6" s="1"/>
  <c r="J71" i="1"/>
  <c r="G7" i="4"/>
  <c r="G8" i="4" s="1"/>
  <c r="K22" i="1"/>
  <c r="G22" i="4" s="1"/>
  <c r="K234" i="3"/>
  <c r="N45" i="4"/>
  <c r="K148" i="3"/>
  <c r="L218" i="3"/>
  <c r="L142" i="3"/>
  <c r="M12" i="3"/>
  <c r="K221" i="3"/>
  <c r="K29" i="1" s="1"/>
  <c r="G29" i="4" s="1"/>
  <c r="L165" i="3"/>
  <c r="L166" i="3"/>
  <c r="L167" i="3"/>
  <c r="L163" i="3"/>
  <c r="L164" i="3"/>
  <c r="L168" i="3"/>
  <c r="L192" i="3"/>
  <c r="M46" i="3"/>
  <c r="M189" i="3" s="1"/>
  <c r="M44" i="3"/>
  <c r="M187" i="3" s="1"/>
  <c r="M48" i="3"/>
  <c r="M191" i="3" s="1"/>
  <c r="M40" i="3"/>
  <c r="M183" i="3" s="1"/>
  <c r="M45" i="3"/>
  <c r="M188" i="3" s="1"/>
  <c r="M41" i="3"/>
  <c r="M184" i="3" s="1"/>
  <c r="M49" i="3"/>
  <c r="M47" i="3"/>
  <c r="M190" i="3" s="1"/>
  <c r="M43" i="3"/>
  <c r="M186" i="3" s="1"/>
  <c r="M42" i="3"/>
  <c r="M185" i="3" s="1"/>
  <c r="M36" i="3"/>
  <c r="M179" i="3" s="1"/>
  <c r="M21" i="3"/>
  <c r="M30" i="3"/>
  <c r="M173" i="3" s="1"/>
  <c r="M31" i="3"/>
  <c r="M174" i="3" s="1"/>
  <c r="M34" i="3"/>
  <c r="M177" i="3" s="1"/>
  <c r="M25" i="3"/>
  <c r="M32" i="3"/>
  <c r="M175" i="3" s="1"/>
  <c r="M27" i="3"/>
  <c r="M170" i="3" s="1"/>
  <c r="M39" i="3"/>
  <c r="M182" i="3" s="1"/>
  <c r="M38" i="3"/>
  <c r="M181" i="3" s="1"/>
  <c r="M33" i="3"/>
  <c r="M176" i="3" s="1"/>
  <c r="M22" i="3"/>
  <c r="M29" i="3"/>
  <c r="M172" i="3" s="1"/>
  <c r="M37" i="3"/>
  <c r="M180" i="3" s="1"/>
  <c r="M23" i="3"/>
  <c r="M166" i="3" s="1"/>
  <c r="M26" i="3"/>
  <c r="M28" i="3"/>
  <c r="M171" i="3" s="1"/>
  <c r="M20" i="3"/>
  <c r="M24" i="3"/>
  <c r="M19" i="3"/>
  <c r="M162" i="3" s="1"/>
  <c r="Y67" i="1"/>
  <c r="Z67" i="1" s="1"/>
  <c r="AA67" i="1" s="1"/>
  <c r="R18" i="6"/>
  <c r="P47" i="1" s="1"/>
  <c r="M5" i="1"/>
  <c r="AE70" i="1"/>
  <c r="AF70" i="1" s="1"/>
  <c r="AG70" i="1" s="1"/>
  <c r="AB77" i="1"/>
  <c r="AC77" i="1" s="1"/>
  <c r="N5" i="3"/>
  <c r="Y76" i="1"/>
  <c r="Z76" i="1" s="1"/>
  <c r="AA76" i="1" s="1"/>
  <c r="AB69" i="1"/>
  <c r="AC69" i="1" s="1"/>
  <c r="AB68" i="1"/>
  <c r="AC68" i="1" s="1"/>
  <c r="AP20" i="6" l="1"/>
  <c r="AN36" i="6"/>
  <c r="AO85" i="6"/>
  <c r="AL21" i="6"/>
  <c r="AK18" i="6"/>
  <c r="AI47" i="1" s="1"/>
  <c r="AK29" i="6"/>
  <c r="AI56" i="1" s="1"/>
  <c r="L8" i="1"/>
  <c r="M8" i="6"/>
  <c r="M79" i="3"/>
  <c r="M147" i="3" s="1"/>
  <c r="Y87" i="6"/>
  <c r="L11" i="1"/>
  <c r="N10" i="6" s="1"/>
  <c r="L220" i="3"/>
  <c r="M78" i="3"/>
  <c r="N140" i="3"/>
  <c r="N135" i="3"/>
  <c r="N133" i="3"/>
  <c r="N60" i="3"/>
  <c r="N203" i="3" s="1"/>
  <c r="N131" i="3"/>
  <c r="N123" i="3"/>
  <c r="N55" i="3"/>
  <c r="N198" i="3" s="1"/>
  <c r="N67" i="3"/>
  <c r="N210" i="3" s="1"/>
  <c r="N118" i="3"/>
  <c r="N72" i="3"/>
  <c r="N215" i="3" s="1"/>
  <c r="N59" i="3"/>
  <c r="N202" i="3" s="1"/>
  <c r="N54" i="3"/>
  <c r="N197" i="3" s="1"/>
  <c r="N64" i="3"/>
  <c r="N207" i="3" s="1"/>
  <c r="N56" i="3"/>
  <c r="N199" i="3" s="1"/>
  <c r="N66" i="3"/>
  <c r="N209" i="3" s="1"/>
  <c r="N71" i="3"/>
  <c r="N214" i="3" s="1"/>
  <c r="N139" i="3"/>
  <c r="N124" i="3"/>
  <c r="N70" i="3"/>
  <c r="N213" i="3" s="1"/>
  <c r="N62" i="3"/>
  <c r="N205" i="3" s="1"/>
  <c r="N68" i="3"/>
  <c r="N211" i="3" s="1"/>
  <c r="N65" i="3"/>
  <c r="N208" i="3" s="1"/>
  <c r="N57" i="3"/>
  <c r="N200" i="3" s="1"/>
  <c r="N58" i="3"/>
  <c r="N201" i="3" s="1"/>
  <c r="N63" i="3"/>
  <c r="N206" i="3" s="1"/>
  <c r="N61" i="3"/>
  <c r="N204" i="3" s="1"/>
  <c r="N69" i="3"/>
  <c r="N212" i="3" s="1"/>
  <c r="N53" i="3"/>
  <c r="N196" i="3" s="1"/>
  <c r="N137" i="3"/>
  <c r="N122" i="3"/>
  <c r="N136" i="3"/>
  <c r="N129" i="3"/>
  <c r="N126" i="3"/>
  <c r="N121" i="3"/>
  <c r="N130" i="3"/>
  <c r="N132" i="3"/>
  <c r="N119" i="3"/>
  <c r="N127" i="3"/>
  <c r="N138" i="3"/>
  <c r="N125" i="3"/>
  <c r="N134" i="3"/>
  <c r="N128" i="3"/>
  <c r="N50" i="3"/>
  <c r="N193" i="3" s="1"/>
  <c r="N51" i="3"/>
  <c r="N194" i="3" s="1"/>
  <c r="N237" i="3"/>
  <c r="N101" i="3"/>
  <c r="N96" i="3"/>
  <c r="N100" i="3"/>
  <c r="N92" i="3"/>
  <c r="N106" i="3"/>
  <c r="N93" i="3"/>
  <c r="N97" i="3"/>
  <c r="N87" i="3"/>
  <c r="N88" i="3"/>
  <c r="N91" i="3"/>
  <c r="N108" i="3"/>
  <c r="N98" i="3"/>
  <c r="N90" i="3"/>
  <c r="N104" i="3"/>
  <c r="N102" i="3"/>
  <c r="N107" i="3"/>
  <c r="N94" i="3"/>
  <c r="N89" i="3"/>
  <c r="N95" i="3"/>
  <c r="N99" i="3"/>
  <c r="N105" i="3"/>
  <c r="N110" i="3"/>
  <c r="N109" i="3"/>
  <c r="N111" i="3"/>
  <c r="N112" i="3"/>
  <c r="N113" i="3"/>
  <c r="N114" i="3"/>
  <c r="N115" i="3"/>
  <c r="N116" i="3"/>
  <c r="M66" i="4"/>
  <c r="G73" i="2" s="1"/>
  <c r="L56" i="4"/>
  <c r="L65" i="4"/>
  <c r="L64" i="4"/>
  <c r="AB75" i="1"/>
  <c r="AC75" i="1" s="1"/>
  <c r="C117" i="3"/>
  <c r="C143" i="3"/>
  <c r="C218" i="3" s="1"/>
  <c r="M57" i="4"/>
  <c r="G64" i="2" s="1"/>
  <c r="M58" i="4"/>
  <c r="N59" i="4"/>
  <c r="O45" i="4"/>
  <c r="M232" i="3"/>
  <c r="M22" i="1" s="1"/>
  <c r="M7" i="1"/>
  <c r="K24" i="1"/>
  <c r="L231" i="3"/>
  <c r="K239" i="3"/>
  <c r="K35" i="1" s="1"/>
  <c r="K71" i="1"/>
  <c r="G60" i="4" s="1"/>
  <c r="L148" i="3"/>
  <c r="N12" i="3"/>
  <c r="L221" i="3"/>
  <c r="L29" i="1" s="1"/>
  <c r="M169" i="3"/>
  <c r="M165" i="3"/>
  <c r="M192" i="3"/>
  <c r="M167" i="3"/>
  <c r="M163" i="3"/>
  <c r="M168" i="3"/>
  <c r="M164" i="3"/>
  <c r="N49" i="3"/>
  <c r="N45" i="3"/>
  <c r="N188" i="3" s="1"/>
  <c r="N41" i="3"/>
  <c r="N184" i="3" s="1"/>
  <c r="N44" i="3"/>
  <c r="N187" i="3" s="1"/>
  <c r="N46" i="3"/>
  <c r="N189" i="3" s="1"/>
  <c r="N48" i="3"/>
  <c r="N191" i="3" s="1"/>
  <c r="N40" i="3"/>
  <c r="N183" i="3" s="1"/>
  <c r="N47" i="3"/>
  <c r="N190" i="3" s="1"/>
  <c r="N42" i="3"/>
  <c r="N185" i="3" s="1"/>
  <c r="N43" i="3"/>
  <c r="N186" i="3" s="1"/>
  <c r="N34" i="3"/>
  <c r="N177" i="3" s="1"/>
  <c r="N26" i="3"/>
  <c r="N29" i="3"/>
  <c r="N172" i="3" s="1"/>
  <c r="N30" i="3"/>
  <c r="N173" i="3" s="1"/>
  <c r="N22" i="3"/>
  <c r="N21" i="3"/>
  <c r="N164" i="3" s="1"/>
  <c r="N32" i="3"/>
  <c r="N175" i="3" s="1"/>
  <c r="N23" i="3"/>
  <c r="N33" i="3"/>
  <c r="N176" i="3" s="1"/>
  <c r="N25" i="3"/>
  <c r="N38" i="3"/>
  <c r="N181" i="3" s="1"/>
  <c r="N37" i="3"/>
  <c r="N180" i="3" s="1"/>
  <c r="N28" i="3"/>
  <c r="N171" i="3" s="1"/>
  <c r="N39" i="3"/>
  <c r="N182" i="3" s="1"/>
  <c r="N31" i="3"/>
  <c r="N174" i="3" s="1"/>
  <c r="N27" i="3"/>
  <c r="N24" i="3"/>
  <c r="N19" i="3"/>
  <c r="N162" i="3" s="1"/>
  <c r="N20" i="3"/>
  <c r="N36" i="3"/>
  <c r="N179" i="3" s="1"/>
  <c r="AE68" i="1"/>
  <c r="AF68" i="1" s="1"/>
  <c r="AG68" i="1" s="1"/>
  <c r="AE77" i="1"/>
  <c r="AF77" i="1" s="1"/>
  <c r="AG77" i="1" s="1"/>
  <c r="N5" i="1"/>
  <c r="AE69" i="1"/>
  <c r="AF69" i="1" s="1"/>
  <c r="AG69" i="1" s="1"/>
  <c r="AB76" i="1"/>
  <c r="AC76" i="1" s="1"/>
  <c r="S18" i="6"/>
  <c r="Q47" i="1" s="1"/>
  <c r="AB67" i="1"/>
  <c r="AC67" i="1" s="1"/>
  <c r="O5" i="3"/>
  <c r="AH70" i="1"/>
  <c r="AI70" i="1" s="1"/>
  <c r="AJ70" i="1" s="1"/>
  <c r="L71" i="1" l="1"/>
  <c r="O7" i="6"/>
  <c r="G24" i="4"/>
  <c r="M9" i="6"/>
  <c r="AP85" i="6"/>
  <c r="AQ20" i="6"/>
  <c r="AO36" i="6"/>
  <c r="AM21" i="6"/>
  <c r="AL18" i="6"/>
  <c r="AJ47" i="1" s="1"/>
  <c r="AL29" i="6"/>
  <c r="AJ56" i="1" s="1"/>
  <c r="M74" i="3"/>
  <c r="M142" i="3" s="1"/>
  <c r="M148" i="3" s="1"/>
  <c r="M8" i="1"/>
  <c r="N8" i="6"/>
  <c r="N79" i="3"/>
  <c r="N147" i="3" s="1"/>
  <c r="Z87" i="6"/>
  <c r="M218" i="3"/>
  <c r="M221" i="3" s="1"/>
  <c r="M29" i="1" s="1"/>
  <c r="M11" i="1"/>
  <c r="O10" i="6" s="1"/>
  <c r="M220" i="3"/>
  <c r="N78" i="3"/>
  <c r="O140" i="3"/>
  <c r="O139" i="3"/>
  <c r="O129" i="3"/>
  <c r="O124" i="3"/>
  <c r="O127" i="3"/>
  <c r="O69" i="3"/>
  <c r="O212" i="3" s="1"/>
  <c r="O123" i="3"/>
  <c r="O66" i="3"/>
  <c r="O209" i="3" s="1"/>
  <c r="O126" i="3"/>
  <c r="O62" i="3"/>
  <c r="O205" i="3" s="1"/>
  <c r="O67" i="3"/>
  <c r="O210" i="3" s="1"/>
  <c r="O59" i="3"/>
  <c r="O202" i="3" s="1"/>
  <c r="O58" i="3"/>
  <c r="O201" i="3" s="1"/>
  <c r="O65" i="3"/>
  <c r="O208" i="3" s="1"/>
  <c r="O60" i="3"/>
  <c r="O203" i="3" s="1"/>
  <c r="O72" i="3"/>
  <c r="O215" i="3" s="1"/>
  <c r="O55" i="3"/>
  <c r="O198" i="3" s="1"/>
  <c r="O68" i="3"/>
  <c r="O211" i="3" s="1"/>
  <c r="O64" i="3"/>
  <c r="O207" i="3" s="1"/>
  <c r="O57" i="3"/>
  <c r="O200" i="3" s="1"/>
  <c r="O118" i="3"/>
  <c r="O137" i="3"/>
  <c r="O71" i="3"/>
  <c r="O214" i="3" s="1"/>
  <c r="O54" i="3"/>
  <c r="O197" i="3" s="1"/>
  <c r="O70" i="3"/>
  <c r="O213" i="3" s="1"/>
  <c r="O61" i="3"/>
  <c r="O204" i="3" s="1"/>
  <c r="O56" i="3"/>
  <c r="O199" i="3" s="1"/>
  <c r="O63" i="3"/>
  <c r="O206" i="3" s="1"/>
  <c r="O53" i="3"/>
  <c r="O196" i="3" s="1"/>
  <c r="O130" i="3"/>
  <c r="O131" i="3"/>
  <c r="O133" i="3"/>
  <c r="O125" i="3"/>
  <c r="O134" i="3"/>
  <c r="O119" i="3"/>
  <c r="O136" i="3"/>
  <c r="O135" i="3"/>
  <c r="O138" i="3"/>
  <c r="O121" i="3"/>
  <c r="O122" i="3"/>
  <c r="O132" i="3"/>
  <c r="O128" i="3"/>
  <c r="O50" i="3"/>
  <c r="O193" i="3" s="1"/>
  <c r="O51" i="3"/>
  <c r="O194" i="3" s="1"/>
  <c r="O237" i="3"/>
  <c r="O106" i="3"/>
  <c r="O101" i="3"/>
  <c r="O93" i="3"/>
  <c r="O88" i="3"/>
  <c r="O97" i="3"/>
  <c r="O100" i="3"/>
  <c r="O96" i="3"/>
  <c r="O104" i="3"/>
  <c r="O87" i="3"/>
  <c r="O89" i="3"/>
  <c r="O102" i="3"/>
  <c r="O92" i="3"/>
  <c r="O91" i="3"/>
  <c r="O108" i="3"/>
  <c r="O90" i="3"/>
  <c r="O94" i="3"/>
  <c r="O107" i="3"/>
  <c r="O98" i="3"/>
  <c r="O105" i="3"/>
  <c r="O99" i="3"/>
  <c r="O95" i="3"/>
  <c r="O110" i="3"/>
  <c r="O109" i="3"/>
  <c r="O111" i="3"/>
  <c r="O112" i="3"/>
  <c r="O113" i="3"/>
  <c r="O114" i="3"/>
  <c r="O115" i="3"/>
  <c r="O116" i="3"/>
  <c r="N66" i="4"/>
  <c r="M56" i="4"/>
  <c r="G63" i="2" s="1"/>
  <c r="M65" i="4"/>
  <c r="N58" i="4"/>
  <c r="M64" i="4"/>
  <c r="AE75" i="1"/>
  <c r="AF75" i="1" s="1"/>
  <c r="AG75" i="1" s="1"/>
  <c r="C192" i="3"/>
  <c r="N117" i="3"/>
  <c r="O117" i="3"/>
  <c r="O59" i="4"/>
  <c r="G65" i="2"/>
  <c r="N57" i="4"/>
  <c r="G34" i="4"/>
  <c r="K36" i="1"/>
  <c r="N232" i="3"/>
  <c r="N22" i="1" s="1"/>
  <c r="H22" i="4" s="1"/>
  <c r="N7" i="1"/>
  <c r="L234" i="3"/>
  <c r="L239" i="3" s="1"/>
  <c r="L35" i="1" s="1"/>
  <c r="O12" i="3"/>
  <c r="N163" i="3"/>
  <c r="N192" i="3"/>
  <c r="N168" i="3"/>
  <c r="N169" i="3"/>
  <c r="N167" i="3"/>
  <c r="N165" i="3"/>
  <c r="N170" i="3"/>
  <c r="N166" i="3"/>
  <c r="O41" i="3"/>
  <c r="O184" i="3" s="1"/>
  <c r="O42" i="3"/>
  <c r="O185" i="3" s="1"/>
  <c r="O43" i="3"/>
  <c r="O186" i="3" s="1"/>
  <c r="O48" i="3"/>
  <c r="O191" i="3" s="1"/>
  <c r="O44" i="3"/>
  <c r="O187" i="3" s="1"/>
  <c r="O45" i="3"/>
  <c r="O188" i="3" s="1"/>
  <c r="O46" i="3"/>
  <c r="O189" i="3" s="1"/>
  <c r="O49" i="3"/>
  <c r="O40" i="3"/>
  <c r="O183" i="3" s="1"/>
  <c r="O47" i="3"/>
  <c r="O190" i="3" s="1"/>
  <c r="O37" i="3"/>
  <c r="O180" i="3" s="1"/>
  <c r="O23" i="3"/>
  <c r="O19" i="3"/>
  <c r="O162" i="3" s="1"/>
  <c r="O32" i="3"/>
  <c r="O175" i="3" s="1"/>
  <c r="O24" i="3"/>
  <c r="O28" i="3"/>
  <c r="O21" i="3"/>
  <c r="O39" i="3"/>
  <c r="O182" i="3" s="1"/>
  <c r="O27" i="3"/>
  <c r="O22" i="3"/>
  <c r="O33" i="3"/>
  <c r="O176" i="3" s="1"/>
  <c r="O25" i="3"/>
  <c r="O38" i="3"/>
  <c r="O181" i="3" s="1"/>
  <c r="O30" i="3"/>
  <c r="O173" i="3" s="1"/>
  <c r="O20" i="3"/>
  <c r="O31" i="3"/>
  <c r="O174" i="3" s="1"/>
  <c r="O36" i="3"/>
  <c r="O179" i="3" s="1"/>
  <c r="O34" i="3"/>
  <c r="O177" i="3" s="1"/>
  <c r="O29" i="3"/>
  <c r="O172" i="3" s="1"/>
  <c r="O26" i="3"/>
  <c r="P5" i="3"/>
  <c r="AE67" i="1"/>
  <c r="AF67" i="1" s="1"/>
  <c r="AG67" i="1" s="1"/>
  <c r="AE76" i="1"/>
  <c r="AF76" i="1" s="1"/>
  <c r="AG76" i="1" s="1"/>
  <c r="AH69" i="1"/>
  <c r="AI69" i="1" s="1"/>
  <c r="AJ69" i="1" s="1"/>
  <c r="O5" i="1"/>
  <c r="AH68" i="1"/>
  <c r="AI68" i="1" s="1"/>
  <c r="AJ68" i="1" s="1"/>
  <c r="AK70" i="1"/>
  <c r="AL70" i="1" s="1"/>
  <c r="AM70" i="1" s="1"/>
  <c r="AH77" i="1"/>
  <c r="AI77" i="1" s="1"/>
  <c r="AJ77" i="1" s="1"/>
  <c r="M67" i="6" l="1"/>
  <c r="M66" i="6"/>
  <c r="M71" i="1"/>
  <c r="P7" i="6"/>
  <c r="AP36" i="6"/>
  <c r="AQ85" i="6"/>
  <c r="AN21" i="6"/>
  <c r="AM18" i="6"/>
  <c r="AK47" i="1" s="1"/>
  <c r="AM29" i="6"/>
  <c r="AK56" i="1" s="1"/>
  <c r="N74" i="3"/>
  <c r="N8" i="1"/>
  <c r="O8" i="6"/>
  <c r="O79" i="3"/>
  <c r="O74" i="3" s="1"/>
  <c r="AA87" i="6"/>
  <c r="N11" i="1"/>
  <c r="P10" i="6" s="1"/>
  <c r="N220" i="3"/>
  <c r="O78" i="3"/>
  <c r="P139" i="3"/>
  <c r="P140" i="3"/>
  <c r="P72" i="3"/>
  <c r="P215" i="3" s="1"/>
  <c r="P71" i="3"/>
  <c r="P214" i="3" s="1"/>
  <c r="P123" i="3"/>
  <c r="P118" i="3"/>
  <c r="P54" i="3"/>
  <c r="P197" i="3" s="1"/>
  <c r="P128" i="3"/>
  <c r="P55" i="3"/>
  <c r="P198" i="3" s="1"/>
  <c r="P63" i="3"/>
  <c r="P206" i="3" s="1"/>
  <c r="P57" i="3"/>
  <c r="P200" i="3" s="1"/>
  <c r="P126" i="3"/>
  <c r="P61" i="3"/>
  <c r="P204" i="3" s="1"/>
  <c r="P60" i="3"/>
  <c r="P203" i="3" s="1"/>
  <c r="P58" i="3"/>
  <c r="P201" i="3" s="1"/>
  <c r="P66" i="3"/>
  <c r="P209" i="3" s="1"/>
  <c r="P65" i="3"/>
  <c r="P208" i="3" s="1"/>
  <c r="P69" i="3"/>
  <c r="P212" i="3" s="1"/>
  <c r="P59" i="3"/>
  <c r="P202" i="3" s="1"/>
  <c r="P68" i="3"/>
  <c r="P211" i="3" s="1"/>
  <c r="P62" i="3"/>
  <c r="P205" i="3" s="1"/>
  <c r="P70" i="3"/>
  <c r="P213" i="3" s="1"/>
  <c r="P53" i="3"/>
  <c r="P196" i="3" s="1"/>
  <c r="P67" i="3"/>
  <c r="P210" i="3" s="1"/>
  <c r="P56" i="3"/>
  <c r="P199" i="3" s="1"/>
  <c r="P64" i="3"/>
  <c r="P207" i="3" s="1"/>
  <c r="P131" i="3"/>
  <c r="P125" i="3"/>
  <c r="P121" i="3"/>
  <c r="P124" i="3"/>
  <c r="P136" i="3"/>
  <c r="P132" i="3"/>
  <c r="P137" i="3"/>
  <c r="P129" i="3"/>
  <c r="P127" i="3"/>
  <c r="P134" i="3"/>
  <c r="P135" i="3"/>
  <c r="P119" i="3"/>
  <c r="P133" i="3"/>
  <c r="P122" i="3"/>
  <c r="P130" i="3"/>
  <c r="P138" i="3"/>
  <c r="P51" i="3"/>
  <c r="P194" i="3" s="1"/>
  <c r="P50" i="3"/>
  <c r="P193" i="3" s="1"/>
  <c r="N64" i="4"/>
  <c r="P237" i="3"/>
  <c r="P88" i="3"/>
  <c r="P101" i="3"/>
  <c r="P93" i="3"/>
  <c r="P92" i="3"/>
  <c r="P97" i="3"/>
  <c r="P106" i="3"/>
  <c r="P96" i="3"/>
  <c r="P100" i="3"/>
  <c r="P87" i="3"/>
  <c r="P89" i="3"/>
  <c r="P104" i="3"/>
  <c r="P98" i="3"/>
  <c r="P107" i="3"/>
  <c r="P91" i="3"/>
  <c r="P90" i="3"/>
  <c r="P108" i="3"/>
  <c r="P94" i="3"/>
  <c r="P102" i="3"/>
  <c r="P99" i="3"/>
  <c r="P95" i="3"/>
  <c r="P105" i="3"/>
  <c r="P110" i="3"/>
  <c r="P109" i="3"/>
  <c r="P111" i="3"/>
  <c r="P112" i="3"/>
  <c r="P113" i="3"/>
  <c r="P114" i="3"/>
  <c r="P115" i="3"/>
  <c r="P116" i="3"/>
  <c r="P117" i="3"/>
  <c r="O66" i="4"/>
  <c r="P59" i="4"/>
  <c r="N56" i="4"/>
  <c r="N65" i="4"/>
  <c r="O57" i="4"/>
  <c r="AH75" i="1"/>
  <c r="AI75" i="1" s="1"/>
  <c r="AJ75" i="1" s="1"/>
  <c r="O58" i="4"/>
  <c r="H7" i="4"/>
  <c r="H8" i="4" s="1"/>
  <c r="M231" i="3"/>
  <c r="L24" i="1"/>
  <c r="N9" i="6" s="1"/>
  <c r="G35" i="4"/>
  <c r="L36" i="1"/>
  <c r="O232" i="3"/>
  <c r="O22" i="1" s="1"/>
  <c r="O7" i="1"/>
  <c r="Q7" i="6" s="1"/>
  <c r="P12" i="3"/>
  <c r="O170" i="3"/>
  <c r="O167" i="3"/>
  <c r="O168" i="3"/>
  <c r="O169" i="3"/>
  <c r="O163" i="3"/>
  <c r="O164" i="3"/>
  <c r="O165" i="3"/>
  <c r="O171" i="3"/>
  <c r="O166" i="3"/>
  <c r="O192" i="3"/>
  <c r="P44" i="3"/>
  <c r="P187" i="3" s="1"/>
  <c r="P46" i="3"/>
  <c r="P189" i="3" s="1"/>
  <c r="P40" i="3"/>
  <c r="P183" i="3" s="1"/>
  <c r="P45" i="3"/>
  <c r="P188" i="3" s="1"/>
  <c r="P41" i="3"/>
  <c r="P184" i="3" s="1"/>
  <c r="P42" i="3"/>
  <c r="P185" i="3" s="1"/>
  <c r="P49" i="3"/>
  <c r="P43" i="3"/>
  <c r="P186" i="3" s="1"/>
  <c r="P47" i="3"/>
  <c r="P190" i="3" s="1"/>
  <c r="P48" i="3"/>
  <c r="P191" i="3" s="1"/>
  <c r="P20" i="3"/>
  <c r="P22" i="3"/>
  <c r="P21" i="3"/>
  <c r="P30" i="3"/>
  <c r="P173" i="3" s="1"/>
  <c r="P27" i="3"/>
  <c r="P34" i="3"/>
  <c r="P177" i="3" s="1"/>
  <c r="P33" i="3"/>
  <c r="P176" i="3" s="1"/>
  <c r="P39" i="3"/>
  <c r="P182" i="3" s="1"/>
  <c r="P28" i="3"/>
  <c r="P31" i="3"/>
  <c r="P174" i="3" s="1"/>
  <c r="P26" i="3"/>
  <c r="P169" i="3" s="1"/>
  <c r="P29" i="3"/>
  <c r="P38" i="3"/>
  <c r="P181" i="3" s="1"/>
  <c r="P37" i="3"/>
  <c r="P180" i="3" s="1"/>
  <c r="P23" i="3"/>
  <c r="P24" i="3"/>
  <c r="P36" i="3"/>
  <c r="P179" i="3" s="1"/>
  <c r="P25" i="3"/>
  <c r="P19" i="3"/>
  <c r="P162" i="3" s="1"/>
  <c r="P32" i="3"/>
  <c r="P175" i="3" s="1"/>
  <c r="AK77" i="1"/>
  <c r="AL77" i="1" s="1"/>
  <c r="AM77" i="1" s="1"/>
  <c r="AH76" i="1"/>
  <c r="AI76" i="1" s="1"/>
  <c r="AJ76" i="1" s="1"/>
  <c r="AK68" i="1"/>
  <c r="AL68" i="1" s="1"/>
  <c r="AM68" i="1" s="1"/>
  <c r="AN70" i="1"/>
  <c r="AO70" i="1" s="1"/>
  <c r="P5" i="1"/>
  <c r="AK69" i="1"/>
  <c r="AL69" i="1" s="1"/>
  <c r="AM69" i="1" s="1"/>
  <c r="Q5" i="3"/>
  <c r="AH67" i="1"/>
  <c r="AI67" i="1" s="1"/>
  <c r="AJ67" i="1" s="1"/>
  <c r="P45" i="4" l="1"/>
  <c r="Q53" i="6"/>
  <c r="Q55" i="6"/>
  <c r="N67" i="6"/>
  <c r="N66" i="6"/>
  <c r="P53" i="6"/>
  <c r="P55" i="6"/>
  <c r="AQ36" i="6"/>
  <c r="AO21" i="6"/>
  <c r="AN29" i="6"/>
  <c r="AL56" i="1" s="1"/>
  <c r="AN18" i="6"/>
  <c r="AL47" i="1" s="1"/>
  <c r="O8" i="1"/>
  <c r="P8" i="6"/>
  <c r="O147" i="3"/>
  <c r="P79" i="3"/>
  <c r="P147" i="3" s="1"/>
  <c r="AB87" i="6"/>
  <c r="O11" i="1"/>
  <c r="Q10" i="6" s="1"/>
  <c r="O220" i="3"/>
  <c r="P58" i="4"/>
  <c r="P78" i="3"/>
  <c r="Q139" i="3"/>
  <c r="Q140" i="3"/>
  <c r="Q127" i="3"/>
  <c r="Q128" i="3"/>
  <c r="Q63" i="3"/>
  <c r="Q206" i="3" s="1"/>
  <c r="Q118" i="3"/>
  <c r="Q126" i="3"/>
  <c r="Q123" i="3"/>
  <c r="Q67" i="3"/>
  <c r="Q210" i="3" s="1"/>
  <c r="Q55" i="3"/>
  <c r="Q198" i="3" s="1"/>
  <c r="Q125" i="3"/>
  <c r="Q124" i="3"/>
  <c r="Q60" i="3"/>
  <c r="Q203" i="3" s="1"/>
  <c r="Q70" i="3"/>
  <c r="Q213" i="3" s="1"/>
  <c r="Q61" i="3"/>
  <c r="Q204" i="3" s="1"/>
  <c r="Q66" i="3"/>
  <c r="Q209" i="3" s="1"/>
  <c r="Q56" i="3"/>
  <c r="Q199" i="3" s="1"/>
  <c r="Q65" i="3"/>
  <c r="Q208" i="3" s="1"/>
  <c r="Q71" i="3"/>
  <c r="Q214" i="3" s="1"/>
  <c r="Q68" i="3"/>
  <c r="Q211" i="3" s="1"/>
  <c r="Q57" i="3"/>
  <c r="Q200" i="3" s="1"/>
  <c r="Q64" i="3"/>
  <c r="Q207" i="3" s="1"/>
  <c r="Q69" i="3"/>
  <c r="Q212" i="3" s="1"/>
  <c r="Q62" i="3"/>
  <c r="Q205" i="3" s="1"/>
  <c r="Q59" i="3"/>
  <c r="Q202" i="3" s="1"/>
  <c r="Q53" i="3"/>
  <c r="Q196" i="3" s="1"/>
  <c r="Q54" i="3"/>
  <c r="Q197" i="3" s="1"/>
  <c r="Q72" i="3"/>
  <c r="Q215" i="3" s="1"/>
  <c r="Q58" i="3"/>
  <c r="Q201" i="3" s="1"/>
  <c r="Q131" i="3"/>
  <c r="Q134" i="3"/>
  <c r="Q121" i="3"/>
  <c r="Q129" i="3"/>
  <c r="Q133" i="3"/>
  <c r="Q138" i="3"/>
  <c r="Q119" i="3"/>
  <c r="Q130" i="3"/>
  <c r="Q122" i="3"/>
  <c r="Q137" i="3"/>
  <c r="Q132" i="3"/>
  <c r="Q135" i="3"/>
  <c r="Q136" i="3"/>
  <c r="Q50" i="3"/>
  <c r="Q193" i="3" s="1"/>
  <c r="Q51" i="3"/>
  <c r="Q194" i="3" s="1"/>
  <c r="Q237" i="3"/>
  <c r="Q106" i="3"/>
  <c r="Q100" i="3"/>
  <c r="Q93" i="3"/>
  <c r="Q97" i="3"/>
  <c r="Q101" i="3"/>
  <c r="Q92" i="3"/>
  <c r="Q88" i="3"/>
  <c r="Q102" i="3"/>
  <c r="Q98" i="3"/>
  <c r="Q90" i="3"/>
  <c r="Q96" i="3"/>
  <c r="Q91" i="3"/>
  <c r="Q108" i="3"/>
  <c r="Q87" i="3"/>
  <c r="Q104" i="3"/>
  <c r="Q89" i="3"/>
  <c r="Q94" i="3"/>
  <c r="Q107" i="3"/>
  <c r="Q105" i="3"/>
  <c r="Q95" i="3"/>
  <c r="Q99" i="3"/>
  <c r="Q109" i="3"/>
  <c r="Q110" i="3"/>
  <c r="Q111" i="3"/>
  <c r="Q112" i="3"/>
  <c r="Q113" i="3"/>
  <c r="Q114" i="3"/>
  <c r="Q115" i="3"/>
  <c r="Q116" i="3"/>
  <c r="Q117" i="3"/>
  <c r="P57" i="4"/>
  <c r="O65" i="4"/>
  <c r="Q59" i="4"/>
  <c r="H66" i="2" s="1"/>
  <c r="O56" i="4"/>
  <c r="P66" i="4"/>
  <c r="AK75" i="1"/>
  <c r="AL75" i="1" s="1"/>
  <c r="AM75" i="1" s="1"/>
  <c r="O64" i="4"/>
  <c r="O218" i="3"/>
  <c r="O221" i="3" s="1"/>
  <c r="O29" i="1" s="1"/>
  <c r="G66" i="2"/>
  <c r="F66" i="2"/>
  <c r="N71" i="1"/>
  <c r="H60" i="4" s="1"/>
  <c r="M234" i="3"/>
  <c r="M239" i="3" s="1"/>
  <c r="M35" i="1" s="1"/>
  <c r="P232" i="3"/>
  <c r="P22" i="1" s="1"/>
  <c r="P7" i="1"/>
  <c r="Q12" i="3"/>
  <c r="P164" i="3"/>
  <c r="P168" i="3"/>
  <c r="P165" i="3"/>
  <c r="P166" i="3"/>
  <c r="P171" i="3"/>
  <c r="P170" i="3"/>
  <c r="P163" i="3"/>
  <c r="P167" i="3"/>
  <c r="P172" i="3"/>
  <c r="P192" i="3"/>
  <c r="Q42" i="3"/>
  <c r="Q185" i="3" s="1"/>
  <c r="Q47" i="3"/>
  <c r="Q190" i="3" s="1"/>
  <c r="Q43" i="3"/>
  <c r="Q186" i="3" s="1"/>
  <c r="Q40" i="3"/>
  <c r="Q183" i="3" s="1"/>
  <c r="Q49" i="3"/>
  <c r="Q48" i="3"/>
  <c r="Q191" i="3" s="1"/>
  <c r="Q45" i="3"/>
  <c r="Q188" i="3" s="1"/>
  <c r="Q41" i="3"/>
  <c r="Q184" i="3" s="1"/>
  <c r="Q44" i="3"/>
  <c r="Q187" i="3" s="1"/>
  <c r="Q46" i="3"/>
  <c r="Q189" i="3" s="1"/>
  <c r="Q29" i="3"/>
  <c r="Q20" i="3"/>
  <c r="Q25" i="3"/>
  <c r="Q26" i="3"/>
  <c r="Q22" i="3"/>
  <c r="Q21" i="3"/>
  <c r="Q38" i="3"/>
  <c r="Q181" i="3" s="1"/>
  <c r="Q31" i="3"/>
  <c r="Q174" i="3" s="1"/>
  <c r="Q33" i="3"/>
  <c r="Q176" i="3" s="1"/>
  <c r="Q30" i="3"/>
  <c r="Q27" i="3"/>
  <c r="Q37" i="3"/>
  <c r="Q180" i="3" s="1"/>
  <c r="Q28" i="3"/>
  <c r="Q32" i="3"/>
  <c r="Q175" i="3" s="1"/>
  <c r="Q36" i="3"/>
  <c r="Q179" i="3" s="1"/>
  <c r="Q19" i="3"/>
  <c r="Q162" i="3" s="1"/>
  <c r="Q34" i="3"/>
  <c r="Q177" i="3" s="1"/>
  <c r="Q24" i="3"/>
  <c r="Q167" i="3" s="1"/>
  <c r="Q23" i="3"/>
  <c r="Q39" i="3"/>
  <c r="Q182" i="3" s="1"/>
  <c r="Q5" i="1"/>
  <c r="AN68" i="1"/>
  <c r="AO68" i="1" s="1"/>
  <c r="AK76" i="1"/>
  <c r="AL76" i="1" s="1"/>
  <c r="AM76" i="1" s="1"/>
  <c r="R5" i="3"/>
  <c r="AN69" i="1"/>
  <c r="AO69" i="1" s="1"/>
  <c r="AK67" i="1"/>
  <c r="AL67" i="1" s="1"/>
  <c r="AM67" i="1" s="1"/>
  <c r="AN77" i="1"/>
  <c r="AO77" i="1" s="1"/>
  <c r="O71" i="1" l="1"/>
  <c r="R7" i="6"/>
  <c r="AP21" i="6"/>
  <c r="AO18" i="6"/>
  <c r="AM47" i="1" s="1"/>
  <c r="AO29" i="6"/>
  <c r="AM56" i="1" s="1"/>
  <c r="P8" i="1"/>
  <c r="Q8" i="6"/>
  <c r="P74" i="3"/>
  <c r="P218" i="3" s="1"/>
  <c r="P221" i="3" s="1"/>
  <c r="P29" i="1" s="1"/>
  <c r="Q79" i="3"/>
  <c r="Q147" i="3" s="1"/>
  <c r="AC87" i="6"/>
  <c r="P11" i="1"/>
  <c r="R10" i="6" s="1"/>
  <c r="P220" i="3"/>
  <c r="Q57" i="4"/>
  <c r="H64" i="2" s="1"/>
  <c r="Q78" i="3"/>
  <c r="R54" i="3"/>
  <c r="R197" i="3" s="1"/>
  <c r="R140" i="3"/>
  <c r="R118" i="3"/>
  <c r="R131" i="3"/>
  <c r="R133" i="3"/>
  <c r="R55" i="3"/>
  <c r="R198" i="3" s="1"/>
  <c r="R139" i="3"/>
  <c r="R126" i="3"/>
  <c r="R60" i="3"/>
  <c r="R203" i="3" s="1"/>
  <c r="R123" i="3"/>
  <c r="R66" i="3"/>
  <c r="R209" i="3" s="1"/>
  <c r="R65" i="3"/>
  <c r="R208" i="3" s="1"/>
  <c r="R125" i="3"/>
  <c r="R70" i="3"/>
  <c r="R213" i="3" s="1"/>
  <c r="R64" i="3"/>
  <c r="R207" i="3" s="1"/>
  <c r="R71" i="3"/>
  <c r="R214" i="3" s="1"/>
  <c r="R56" i="3"/>
  <c r="R199" i="3" s="1"/>
  <c r="R67" i="3"/>
  <c r="R210" i="3" s="1"/>
  <c r="R69" i="3"/>
  <c r="R212" i="3" s="1"/>
  <c r="R63" i="3"/>
  <c r="R206" i="3" s="1"/>
  <c r="R68" i="3"/>
  <c r="R211" i="3" s="1"/>
  <c r="R62" i="3"/>
  <c r="R205" i="3" s="1"/>
  <c r="R124" i="3"/>
  <c r="R59" i="3"/>
  <c r="R202" i="3" s="1"/>
  <c r="R72" i="3"/>
  <c r="R215" i="3" s="1"/>
  <c r="R57" i="3"/>
  <c r="R200" i="3" s="1"/>
  <c r="R61" i="3"/>
  <c r="R204" i="3" s="1"/>
  <c r="R58" i="3"/>
  <c r="R201" i="3" s="1"/>
  <c r="R53" i="3"/>
  <c r="R196" i="3" s="1"/>
  <c r="R134" i="3"/>
  <c r="R127" i="3"/>
  <c r="R136" i="3"/>
  <c r="R132" i="3"/>
  <c r="R129" i="3"/>
  <c r="R130" i="3"/>
  <c r="R135" i="3"/>
  <c r="R137" i="3"/>
  <c r="R122" i="3"/>
  <c r="R119" i="3"/>
  <c r="R128" i="3"/>
  <c r="R138" i="3"/>
  <c r="R121" i="3"/>
  <c r="R50" i="3"/>
  <c r="R193" i="3" s="1"/>
  <c r="R51" i="3"/>
  <c r="R194" i="3" s="1"/>
  <c r="R237" i="3"/>
  <c r="R93" i="3"/>
  <c r="R100" i="3"/>
  <c r="R97" i="3"/>
  <c r="R101" i="3"/>
  <c r="R88" i="3"/>
  <c r="R92" i="3"/>
  <c r="R91" i="3"/>
  <c r="R106" i="3"/>
  <c r="R96" i="3"/>
  <c r="R104" i="3"/>
  <c r="R102" i="3"/>
  <c r="R89" i="3"/>
  <c r="R87" i="3"/>
  <c r="R94" i="3"/>
  <c r="R98" i="3"/>
  <c r="R90" i="3"/>
  <c r="R108" i="3"/>
  <c r="R107" i="3"/>
  <c r="R99" i="3"/>
  <c r="R95" i="3"/>
  <c r="R105" i="3"/>
  <c r="R110" i="3"/>
  <c r="R109" i="3"/>
  <c r="R111" i="3"/>
  <c r="R112" i="3"/>
  <c r="R113" i="3"/>
  <c r="R114" i="3"/>
  <c r="R115" i="3"/>
  <c r="R116" i="3"/>
  <c r="R117" i="3"/>
  <c r="F64" i="2"/>
  <c r="P56" i="4"/>
  <c r="Q66" i="4"/>
  <c r="H73" i="2" s="1"/>
  <c r="Q58" i="4"/>
  <c r="H65" i="2" s="1"/>
  <c r="P64" i="4"/>
  <c r="AN75" i="1"/>
  <c r="AO75" i="1" s="1"/>
  <c r="P65" i="4"/>
  <c r="Q232" i="3"/>
  <c r="Q22" i="1" s="1"/>
  <c r="I22" i="4" s="1"/>
  <c r="Q7" i="1"/>
  <c r="S7" i="6" s="1"/>
  <c r="N231" i="3"/>
  <c r="M24" i="1"/>
  <c r="O9" i="6" s="1"/>
  <c r="N233" i="3"/>
  <c r="N23" i="1" s="1"/>
  <c r="H23" i="4" s="1"/>
  <c r="M36" i="1"/>
  <c r="R12" i="3"/>
  <c r="Q166" i="3"/>
  <c r="Q170" i="3"/>
  <c r="Q168" i="3"/>
  <c r="Q173" i="3"/>
  <c r="Q164" i="3"/>
  <c r="Q163" i="3"/>
  <c r="Q192" i="3"/>
  <c r="Q169" i="3"/>
  <c r="Q171" i="3"/>
  <c r="Q165" i="3"/>
  <c r="Q172" i="3"/>
  <c r="R49" i="3"/>
  <c r="R45" i="3"/>
  <c r="R188" i="3" s="1"/>
  <c r="R41" i="3"/>
  <c r="R184" i="3" s="1"/>
  <c r="R44" i="3"/>
  <c r="R187" i="3" s="1"/>
  <c r="R46" i="3"/>
  <c r="R189" i="3" s="1"/>
  <c r="R48" i="3"/>
  <c r="R191" i="3" s="1"/>
  <c r="R40" i="3"/>
  <c r="R183" i="3" s="1"/>
  <c r="R47" i="3"/>
  <c r="R190" i="3" s="1"/>
  <c r="R43" i="3"/>
  <c r="R186" i="3" s="1"/>
  <c r="R42" i="3"/>
  <c r="R185" i="3" s="1"/>
  <c r="R28" i="3"/>
  <c r="R29" i="3"/>
  <c r="R172" i="3" s="1"/>
  <c r="R24" i="3"/>
  <c r="R32" i="3"/>
  <c r="R175" i="3" s="1"/>
  <c r="R22" i="3"/>
  <c r="R30" i="3"/>
  <c r="R26" i="3"/>
  <c r="R34" i="3"/>
  <c r="R177" i="3" s="1"/>
  <c r="R20" i="3"/>
  <c r="R38" i="3"/>
  <c r="R181" i="3" s="1"/>
  <c r="R36" i="3"/>
  <c r="R179" i="3" s="1"/>
  <c r="R27" i="3"/>
  <c r="R21" i="3"/>
  <c r="R39" i="3"/>
  <c r="R182" i="3" s="1"/>
  <c r="R25" i="3"/>
  <c r="R33" i="3"/>
  <c r="R176" i="3" s="1"/>
  <c r="R23" i="3"/>
  <c r="R31" i="3"/>
  <c r="R37" i="3"/>
  <c r="R180" i="3" s="1"/>
  <c r="R19" i="3"/>
  <c r="R162" i="3" s="1"/>
  <c r="R5" i="1"/>
  <c r="AN76" i="1"/>
  <c r="AO76" i="1" s="1"/>
  <c r="AN67" i="1"/>
  <c r="AO67" i="1" s="1"/>
  <c r="S5" i="3"/>
  <c r="O67" i="6" l="1"/>
  <c r="O66" i="6"/>
  <c r="S55" i="6"/>
  <c r="S53" i="6"/>
  <c r="R55" i="6"/>
  <c r="R53" i="6"/>
  <c r="AQ21" i="6"/>
  <c r="AP29" i="6"/>
  <c r="AN56" i="1" s="1"/>
  <c r="AP18" i="6"/>
  <c r="AN47" i="1" s="1"/>
  <c r="Q74" i="3"/>
  <c r="Q218" i="3" s="1"/>
  <c r="Q221" i="3" s="1"/>
  <c r="Q29" i="1" s="1"/>
  <c r="I29" i="4" s="1"/>
  <c r="Q8" i="1"/>
  <c r="R8" i="6"/>
  <c r="R79" i="3"/>
  <c r="R74" i="3" s="1"/>
  <c r="Q64" i="4"/>
  <c r="AD87" i="6"/>
  <c r="Q11" i="1"/>
  <c r="S10" i="6" s="1"/>
  <c r="Q220" i="3"/>
  <c r="R78" i="3"/>
  <c r="S140" i="3"/>
  <c r="S118" i="3"/>
  <c r="S67" i="3"/>
  <c r="S210" i="3" s="1"/>
  <c r="S124" i="3"/>
  <c r="S127" i="3"/>
  <c r="S139" i="3"/>
  <c r="S54" i="3"/>
  <c r="S197" i="3" s="1"/>
  <c r="S123" i="3"/>
  <c r="S55" i="3"/>
  <c r="S198" i="3" s="1"/>
  <c r="S70" i="3"/>
  <c r="S213" i="3" s="1"/>
  <c r="S59" i="3"/>
  <c r="S202" i="3" s="1"/>
  <c r="S63" i="3"/>
  <c r="S206" i="3" s="1"/>
  <c r="S71" i="3"/>
  <c r="S214" i="3" s="1"/>
  <c r="S62" i="3"/>
  <c r="S205" i="3" s="1"/>
  <c r="S72" i="3"/>
  <c r="S215" i="3" s="1"/>
  <c r="S58" i="3"/>
  <c r="S201" i="3" s="1"/>
  <c r="S66" i="3"/>
  <c r="S209" i="3" s="1"/>
  <c r="S64" i="3"/>
  <c r="S207" i="3" s="1"/>
  <c r="S65" i="3"/>
  <c r="S208" i="3" s="1"/>
  <c r="S57" i="3"/>
  <c r="S200" i="3" s="1"/>
  <c r="S61" i="3"/>
  <c r="S204" i="3" s="1"/>
  <c r="S56" i="3"/>
  <c r="S199" i="3" s="1"/>
  <c r="S69" i="3"/>
  <c r="S212" i="3" s="1"/>
  <c r="S53" i="3"/>
  <c r="S196" i="3" s="1"/>
  <c r="S60" i="3"/>
  <c r="S203" i="3" s="1"/>
  <c r="S68" i="3"/>
  <c r="S211" i="3" s="1"/>
  <c r="S137" i="3"/>
  <c r="S131" i="3"/>
  <c r="S122" i="3"/>
  <c r="S125" i="3"/>
  <c r="S126" i="3"/>
  <c r="S121" i="3"/>
  <c r="S134" i="3"/>
  <c r="S133" i="3"/>
  <c r="S135" i="3"/>
  <c r="S128" i="3"/>
  <c r="S119" i="3"/>
  <c r="S132" i="3"/>
  <c r="S130" i="3"/>
  <c r="S138" i="3"/>
  <c r="S136" i="3"/>
  <c r="S129" i="3"/>
  <c r="S50" i="3"/>
  <c r="S193" i="3" s="1"/>
  <c r="S51" i="3"/>
  <c r="S194" i="3" s="1"/>
  <c r="S237" i="3"/>
  <c r="S92" i="3"/>
  <c r="S106" i="3"/>
  <c r="S101" i="3"/>
  <c r="S93" i="3"/>
  <c r="S100" i="3"/>
  <c r="S96" i="3"/>
  <c r="S87" i="3"/>
  <c r="S91" i="3"/>
  <c r="S88" i="3"/>
  <c r="S102" i="3"/>
  <c r="S89" i="3"/>
  <c r="S97" i="3"/>
  <c r="S90" i="3"/>
  <c r="S107" i="3"/>
  <c r="S104" i="3"/>
  <c r="S94" i="3"/>
  <c r="S98" i="3"/>
  <c r="S108" i="3"/>
  <c r="S105" i="3"/>
  <c r="S99" i="3"/>
  <c r="S95" i="3"/>
  <c r="S110" i="3"/>
  <c r="S109" i="3"/>
  <c r="S111" i="3"/>
  <c r="S112" i="3"/>
  <c r="S113" i="3"/>
  <c r="S114" i="3"/>
  <c r="S115" i="3"/>
  <c r="S116" i="3"/>
  <c r="S117" i="3"/>
  <c r="Q56" i="4"/>
  <c r="H71" i="2"/>
  <c r="G71" i="2"/>
  <c r="Q65" i="4"/>
  <c r="R232" i="3"/>
  <c r="R22" i="1" s="1"/>
  <c r="R7" i="1"/>
  <c r="T7" i="6" s="1"/>
  <c r="P71" i="1"/>
  <c r="I7" i="4"/>
  <c r="I8" i="4" s="1"/>
  <c r="N234" i="3"/>
  <c r="N239" i="3" s="1"/>
  <c r="N35" i="1" s="1"/>
  <c r="S12" i="3"/>
  <c r="R168" i="3"/>
  <c r="R169" i="3"/>
  <c r="R174" i="3"/>
  <c r="R173" i="3"/>
  <c r="R192" i="3"/>
  <c r="R167" i="3"/>
  <c r="R166" i="3"/>
  <c r="R164" i="3"/>
  <c r="R163" i="3"/>
  <c r="R165" i="3"/>
  <c r="R171" i="3"/>
  <c r="R170" i="3"/>
  <c r="S43" i="3"/>
  <c r="S186" i="3" s="1"/>
  <c r="S40" i="3"/>
  <c r="S183" i="3" s="1"/>
  <c r="S42" i="3"/>
  <c r="S185" i="3" s="1"/>
  <c r="S47" i="3"/>
  <c r="S190" i="3" s="1"/>
  <c r="S45" i="3"/>
  <c r="S188" i="3" s="1"/>
  <c r="S44" i="3"/>
  <c r="S187" i="3" s="1"/>
  <c r="S41" i="3"/>
  <c r="S184" i="3" s="1"/>
  <c r="S48" i="3"/>
  <c r="S191" i="3" s="1"/>
  <c r="S46" i="3"/>
  <c r="S189" i="3" s="1"/>
  <c r="S49" i="3"/>
  <c r="S26" i="3"/>
  <c r="S22" i="3"/>
  <c r="S34" i="3"/>
  <c r="S177" i="3" s="1"/>
  <c r="S32" i="3"/>
  <c r="S21" i="3"/>
  <c r="S28" i="3"/>
  <c r="S29" i="3"/>
  <c r="S39" i="3"/>
  <c r="S182" i="3" s="1"/>
  <c r="S20" i="3"/>
  <c r="S31" i="3"/>
  <c r="S24" i="3"/>
  <c r="S37" i="3"/>
  <c r="S180" i="3" s="1"/>
  <c r="S38" i="3"/>
  <c r="S181" i="3" s="1"/>
  <c r="S19" i="3"/>
  <c r="S162" i="3" s="1"/>
  <c r="S25" i="3"/>
  <c r="S36" i="3"/>
  <c r="S179" i="3" s="1"/>
  <c r="S33" i="3"/>
  <c r="S176" i="3" s="1"/>
  <c r="S23" i="3"/>
  <c r="S30" i="3"/>
  <c r="S27" i="3"/>
  <c r="S5" i="1"/>
  <c r="T5" i="3"/>
  <c r="T55" i="6" l="1"/>
  <c r="T50" i="6"/>
  <c r="T53" i="6"/>
  <c r="T57" i="6"/>
  <c r="AQ29" i="6"/>
  <c r="AO56" i="1" s="1"/>
  <c r="Q45" i="4" s="1"/>
  <c r="H51" i="2" s="1"/>
  <c r="AQ18" i="6"/>
  <c r="AO47" i="1" s="1"/>
  <c r="R147" i="3"/>
  <c r="R8" i="1"/>
  <c r="S8" i="6"/>
  <c r="S79" i="3"/>
  <c r="S74" i="3" s="1"/>
  <c r="S218" i="3" s="1"/>
  <c r="AE87" i="6"/>
  <c r="R11" i="1"/>
  <c r="T10" i="6" s="1"/>
  <c r="R220" i="3"/>
  <c r="S78" i="3"/>
  <c r="T140" i="3"/>
  <c r="T139" i="3"/>
  <c r="T123" i="3"/>
  <c r="T130" i="3"/>
  <c r="T126" i="3"/>
  <c r="T60" i="3"/>
  <c r="T203" i="3" s="1"/>
  <c r="T71" i="3"/>
  <c r="T214" i="3" s="1"/>
  <c r="T62" i="3"/>
  <c r="T205" i="3" s="1"/>
  <c r="T57" i="3"/>
  <c r="T200" i="3" s="1"/>
  <c r="T61" i="3"/>
  <c r="T204" i="3" s="1"/>
  <c r="T63" i="3"/>
  <c r="T206" i="3" s="1"/>
  <c r="T68" i="3"/>
  <c r="T211" i="3" s="1"/>
  <c r="T118" i="3"/>
  <c r="T64" i="3"/>
  <c r="T207" i="3" s="1"/>
  <c r="T67" i="3"/>
  <c r="T210" i="3" s="1"/>
  <c r="T65" i="3"/>
  <c r="T208" i="3" s="1"/>
  <c r="T70" i="3"/>
  <c r="T213" i="3" s="1"/>
  <c r="T72" i="3"/>
  <c r="T215" i="3" s="1"/>
  <c r="T55" i="3"/>
  <c r="T198" i="3" s="1"/>
  <c r="T69" i="3"/>
  <c r="T212" i="3" s="1"/>
  <c r="T58" i="3"/>
  <c r="T201" i="3" s="1"/>
  <c r="T56" i="3"/>
  <c r="T199" i="3" s="1"/>
  <c r="T66" i="3"/>
  <c r="T209" i="3" s="1"/>
  <c r="T54" i="3"/>
  <c r="T197" i="3" s="1"/>
  <c r="T59" i="3"/>
  <c r="T202" i="3" s="1"/>
  <c r="T53" i="3"/>
  <c r="T196" i="3" s="1"/>
  <c r="T125" i="3"/>
  <c r="T134" i="3"/>
  <c r="T131" i="3"/>
  <c r="T122" i="3"/>
  <c r="T127" i="3"/>
  <c r="T129" i="3"/>
  <c r="T133" i="3"/>
  <c r="T128" i="3"/>
  <c r="T138" i="3"/>
  <c r="T124" i="3"/>
  <c r="T136" i="3"/>
  <c r="T121" i="3"/>
  <c r="T132" i="3"/>
  <c r="T119" i="3"/>
  <c r="T137" i="3"/>
  <c r="T135" i="3"/>
  <c r="T50" i="3"/>
  <c r="T193" i="3" s="1"/>
  <c r="T51" i="3"/>
  <c r="T194" i="3" s="1"/>
  <c r="T237" i="3"/>
  <c r="T100" i="3"/>
  <c r="T88" i="3"/>
  <c r="T101" i="3"/>
  <c r="T93" i="3"/>
  <c r="T92" i="3"/>
  <c r="T106" i="3"/>
  <c r="T87" i="3"/>
  <c r="T96" i="3"/>
  <c r="T91" i="3"/>
  <c r="T104" i="3"/>
  <c r="T98" i="3"/>
  <c r="T89" i="3"/>
  <c r="T107" i="3"/>
  <c r="T97" i="3"/>
  <c r="T90" i="3"/>
  <c r="T102" i="3"/>
  <c r="T108" i="3"/>
  <c r="T94" i="3"/>
  <c r="T105" i="3"/>
  <c r="T99" i="3"/>
  <c r="T95" i="3"/>
  <c r="T109" i="3"/>
  <c r="T110" i="3"/>
  <c r="T111" i="3"/>
  <c r="T112" i="3"/>
  <c r="T113" i="3"/>
  <c r="T114" i="3"/>
  <c r="T115" i="3"/>
  <c r="T116" i="3"/>
  <c r="T117" i="3"/>
  <c r="H63" i="2"/>
  <c r="F63" i="2"/>
  <c r="F72" i="2"/>
  <c r="G72" i="2"/>
  <c r="H72" i="2"/>
  <c r="N36" i="1"/>
  <c r="H34" i="4"/>
  <c r="Q71" i="1"/>
  <c r="I60" i="4" s="1"/>
  <c r="S7" i="1"/>
  <c r="O233" i="3"/>
  <c r="O23" i="1" s="1"/>
  <c r="N24" i="1"/>
  <c r="O231" i="3"/>
  <c r="R146" i="3"/>
  <c r="R218" i="3"/>
  <c r="R221" i="3" s="1"/>
  <c r="R29" i="1" s="1"/>
  <c r="T12" i="3"/>
  <c r="S232" i="3"/>
  <c r="S22" i="1" s="1"/>
  <c r="S163" i="3"/>
  <c r="S169" i="3"/>
  <c r="S170" i="3"/>
  <c r="S175" i="3"/>
  <c r="S192" i="3"/>
  <c r="S173" i="3"/>
  <c r="S168" i="3"/>
  <c r="S167" i="3"/>
  <c r="S172" i="3"/>
  <c r="S164" i="3"/>
  <c r="S166" i="3"/>
  <c r="S174" i="3"/>
  <c r="S171" i="3"/>
  <c r="S165" i="3"/>
  <c r="T48" i="3"/>
  <c r="T191" i="3" s="1"/>
  <c r="T47" i="3"/>
  <c r="T190" i="3" s="1"/>
  <c r="T43" i="3"/>
  <c r="T186" i="3" s="1"/>
  <c r="T44" i="3"/>
  <c r="T187" i="3" s="1"/>
  <c r="T46" i="3"/>
  <c r="T189" i="3" s="1"/>
  <c r="T40" i="3"/>
  <c r="T183" i="3" s="1"/>
  <c r="T49" i="3"/>
  <c r="T42" i="3"/>
  <c r="T185" i="3" s="1"/>
  <c r="T45" i="3"/>
  <c r="T188" i="3" s="1"/>
  <c r="T41" i="3"/>
  <c r="T184" i="3" s="1"/>
  <c r="T31" i="3"/>
  <c r="T26" i="3"/>
  <c r="T27" i="3"/>
  <c r="T33" i="3"/>
  <c r="T25" i="3"/>
  <c r="T21" i="3"/>
  <c r="T29" i="3"/>
  <c r="T30" i="3"/>
  <c r="T37" i="3"/>
  <c r="T180" i="3" s="1"/>
  <c r="T19" i="3"/>
  <c r="T162" i="3" s="1"/>
  <c r="T38" i="3"/>
  <c r="T181" i="3" s="1"/>
  <c r="T36" i="3"/>
  <c r="T179" i="3" s="1"/>
  <c r="T34" i="3"/>
  <c r="T177" i="3" s="1"/>
  <c r="T23" i="3"/>
  <c r="T32" i="3"/>
  <c r="T20" i="3"/>
  <c r="T28" i="3"/>
  <c r="T24" i="3"/>
  <c r="T39" i="3"/>
  <c r="T182" i="3" s="1"/>
  <c r="T22" i="3"/>
  <c r="U5" i="3"/>
  <c r="T5" i="1"/>
  <c r="T37" i="6" l="1"/>
  <c r="T35" i="6"/>
  <c r="R71" i="1"/>
  <c r="U7" i="6"/>
  <c r="H24" i="4"/>
  <c r="P9" i="6"/>
  <c r="S8" i="1"/>
  <c r="T8" i="6"/>
  <c r="S147" i="3"/>
  <c r="T79" i="3"/>
  <c r="T74" i="3" s="1"/>
  <c r="AF87" i="6"/>
  <c r="S11" i="1"/>
  <c r="U10" i="6" s="1"/>
  <c r="S220" i="3"/>
  <c r="T78" i="3"/>
  <c r="U55" i="3"/>
  <c r="U198" i="3" s="1"/>
  <c r="U72" i="3"/>
  <c r="U215" i="3" s="1"/>
  <c r="U140" i="3"/>
  <c r="U139" i="3"/>
  <c r="U125" i="3"/>
  <c r="U66" i="3"/>
  <c r="U209" i="3" s="1"/>
  <c r="U56" i="3"/>
  <c r="U199" i="3" s="1"/>
  <c r="U126" i="3"/>
  <c r="U69" i="3"/>
  <c r="U212" i="3" s="1"/>
  <c r="U70" i="3"/>
  <c r="U213" i="3" s="1"/>
  <c r="U64" i="3"/>
  <c r="U207" i="3" s="1"/>
  <c r="U68" i="3"/>
  <c r="U211" i="3" s="1"/>
  <c r="U63" i="3"/>
  <c r="U206" i="3" s="1"/>
  <c r="U130" i="3"/>
  <c r="U67" i="3"/>
  <c r="U210" i="3" s="1"/>
  <c r="U71" i="3"/>
  <c r="U214" i="3" s="1"/>
  <c r="U65" i="3"/>
  <c r="U208" i="3" s="1"/>
  <c r="U118" i="3"/>
  <c r="U61" i="3"/>
  <c r="U204" i="3" s="1"/>
  <c r="U62" i="3"/>
  <c r="U205" i="3" s="1"/>
  <c r="U57" i="3"/>
  <c r="U200" i="3" s="1"/>
  <c r="U59" i="3"/>
  <c r="U202" i="3" s="1"/>
  <c r="U123" i="3"/>
  <c r="U60" i="3"/>
  <c r="U203" i="3" s="1"/>
  <c r="U54" i="3"/>
  <c r="U197" i="3" s="1"/>
  <c r="U58" i="3"/>
  <c r="U201" i="3" s="1"/>
  <c r="U53" i="3"/>
  <c r="U196" i="3" s="1"/>
  <c r="U122" i="3"/>
  <c r="U127" i="3"/>
  <c r="U136" i="3"/>
  <c r="U119" i="3"/>
  <c r="U133" i="3"/>
  <c r="U135" i="3"/>
  <c r="U128" i="3"/>
  <c r="U134" i="3"/>
  <c r="U129" i="3"/>
  <c r="U124" i="3"/>
  <c r="U121" i="3"/>
  <c r="U138" i="3"/>
  <c r="U131" i="3"/>
  <c r="U137" i="3"/>
  <c r="U132" i="3"/>
  <c r="U50" i="3"/>
  <c r="U193" i="3" s="1"/>
  <c r="U51" i="3"/>
  <c r="U194" i="3" s="1"/>
  <c r="U237" i="3"/>
  <c r="U93" i="3"/>
  <c r="U96" i="3"/>
  <c r="U88" i="3"/>
  <c r="U106" i="3"/>
  <c r="U100" i="3"/>
  <c r="U92" i="3"/>
  <c r="U101" i="3"/>
  <c r="U97" i="3"/>
  <c r="U104" i="3"/>
  <c r="U94" i="3"/>
  <c r="U107" i="3"/>
  <c r="U108" i="3"/>
  <c r="U102" i="3"/>
  <c r="U87" i="3"/>
  <c r="U91" i="3"/>
  <c r="U89" i="3"/>
  <c r="U90" i="3"/>
  <c r="U98" i="3"/>
  <c r="U105" i="3"/>
  <c r="U99" i="3"/>
  <c r="U95" i="3"/>
  <c r="U110" i="3"/>
  <c r="U109" i="3"/>
  <c r="U111" i="3"/>
  <c r="U112" i="3"/>
  <c r="U113" i="3"/>
  <c r="U114" i="3"/>
  <c r="U115" i="3"/>
  <c r="U116" i="3"/>
  <c r="U117" i="3"/>
  <c r="F67" i="2"/>
  <c r="S146" i="3"/>
  <c r="O234" i="3"/>
  <c r="O239" i="3" s="1"/>
  <c r="O35" i="1" s="1"/>
  <c r="H35" i="4"/>
  <c r="T7" i="1"/>
  <c r="U12" i="3"/>
  <c r="T232" i="3"/>
  <c r="T22" i="1" s="1"/>
  <c r="J22" i="4" s="1"/>
  <c r="S221" i="3"/>
  <c r="S29" i="1" s="1"/>
  <c r="T168" i="3"/>
  <c r="T165" i="3"/>
  <c r="T163" i="3"/>
  <c r="T173" i="3"/>
  <c r="T176" i="3"/>
  <c r="T171" i="3"/>
  <c r="T174" i="3"/>
  <c r="T192" i="3"/>
  <c r="T175" i="3"/>
  <c r="T172" i="3"/>
  <c r="T170" i="3"/>
  <c r="T167" i="3"/>
  <c r="T166" i="3"/>
  <c r="T164" i="3"/>
  <c r="T169" i="3"/>
  <c r="U45" i="3"/>
  <c r="U188" i="3" s="1"/>
  <c r="U41" i="3"/>
  <c r="U184" i="3" s="1"/>
  <c r="U44" i="3"/>
  <c r="U187" i="3" s="1"/>
  <c r="U42" i="3"/>
  <c r="U185" i="3" s="1"/>
  <c r="U40" i="3"/>
  <c r="U183" i="3" s="1"/>
  <c r="U49" i="3"/>
  <c r="U47" i="3"/>
  <c r="U190" i="3" s="1"/>
  <c r="U46" i="3"/>
  <c r="U189" i="3" s="1"/>
  <c r="U48" i="3"/>
  <c r="U191" i="3" s="1"/>
  <c r="U43" i="3"/>
  <c r="U186" i="3" s="1"/>
  <c r="U27" i="3"/>
  <c r="U26" i="3"/>
  <c r="U22" i="3"/>
  <c r="U36" i="3"/>
  <c r="U179" i="3" s="1"/>
  <c r="U39" i="3"/>
  <c r="U182" i="3" s="1"/>
  <c r="U24" i="3"/>
  <c r="U34" i="3"/>
  <c r="U177" i="3" s="1"/>
  <c r="U29" i="3"/>
  <c r="U32" i="3"/>
  <c r="U175" i="3" s="1"/>
  <c r="U30" i="3"/>
  <c r="U21" i="3"/>
  <c r="U33" i="3"/>
  <c r="U31" i="3"/>
  <c r="U25" i="3"/>
  <c r="U28" i="3"/>
  <c r="U20" i="3"/>
  <c r="U19" i="3"/>
  <c r="U162" i="3" s="1"/>
  <c r="U37" i="3"/>
  <c r="U180" i="3" s="1"/>
  <c r="U23" i="3"/>
  <c r="U38" i="3"/>
  <c r="U181" i="3" s="1"/>
  <c r="U5" i="1"/>
  <c r="V5" i="3"/>
  <c r="S71" i="1" l="1"/>
  <c r="V7" i="6"/>
  <c r="P66" i="6"/>
  <c r="P67" i="6"/>
  <c r="U37" i="6"/>
  <c r="U35" i="6"/>
  <c r="U55" i="6"/>
  <c r="U50" i="6"/>
  <c r="U57" i="6"/>
  <c r="U53" i="6"/>
  <c r="T8" i="1"/>
  <c r="U8" i="6"/>
  <c r="U79" i="3"/>
  <c r="U74" i="3" s="1"/>
  <c r="T147" i="3"/>
  <c r="AG87" i="6"/>
  <c r="T11" i="1"/>
  <c r="T220" i="3"/>
  <c r="U78" i="3"/>
  <c r="V140" i="3"/>
  <c r="V60" i="3"/>
  <c r="V203" i="3" s="1"/>
  <c r="V124" i="3"/>
  <c r="V139" i="3"/>
  <c r="V118" i="3"/>
  <c r="V131" i="3"/>
  <c r="V126" i="3"/>
  <c r="V61" i="3"/>
  <c r="V204" i="3" s="1"/>
  <c r="V59" i="3"/>
  <c r="V202" i="3" s="1"/>
  <c r="V71" i="3"/>
  <c r="V214" i="3" s="1"/>
  <c r="V69" i="3"/>
  <c r="V212" i="3" s="1"/>
  <c r="V133" i="3"/>
  <c r="V121" i="3"/>
  <c r="V63" i="3"/>
  <c r="V206" i="3" s="1"/>
  <c r="V68" i="3"/>
  <c r="V211" i="3" s="1"/>
  <c r="V65" i="3"/>
  <c r="V208" i="3" s="1"/>
  <c r="V62" i="3"/>
  <c r="V205" i="3" s="1"/>
  <c r="V57" i="3"/>
  <c r="V200" i="3" s="1"/>
  <c r="V127" i="3"/>
  <c r="V70" i="3"/>
  <c r="V213" i="3" s="1"/>
  <c r="V64" i="3"/>
  <c r="V207" i="3" s="1"/>
  <c r="V56" i="3"/>
  <c r="V199" i="3" s="1"/>
  <c r="V123" i="3"/>
  <c r="V55" i="3"/>
  <c r="V198" i="3" s="1"/>
  <c r="V54" i="3"/>
  <c r="V197" i="3" s="1"/>
  <c r="V72" i="3"/>
  <c r="V215" i="3" s="1"/>
  <c r="V66" i="3"/>
  <c r="V209" i="3" s="1"/>
  <c r="V53" i="3"/>
  <c r="V196" i="3" s="1"/>
  <c r="V67" i="3"/>
  <c r="V210" i="3" s="1"/>
  <c r="V58" i="3"/>
  <c r="V201" i="3" s="1"/>
  <c r="V134" i="3"/>
  <c r="V137" i="3"/>
  <c r="V135" i="3"/>
  <c r="V125" i="3"/>
  <c r="V128" i="3"/>
  <c r="V136" i="3"/>
  <c r="V119" i="3"/>
  <c r="V132" i="3"/>
  <c r="V122" i="3"/>
  <c r="V129" i="3"/>
  <c r="V130" i="3"/>
  <c r="V138" i="3"/>
  <c r="V51" i="3"/>
  <c r="V194" i="3" s="1"/>
  <c r="V50" i="3"/>
  <c r="V193" i="3" s="1"/>
  <c r="V237" i="3"/>
  <c r="V106" i="3"/>
  <c r="V93" i="3"/>
  <c r="V96" i="3"/>
  <c r="V97" i="3"/>
  <c r="V101" i="3"/>
  <c r="V100" i="3"/>
  <c r="V104" i="3"/>
  <c r="V87" i="3"/>
  <c r="V108" i="3"/>
  <c r="V88" i="3"/>
  <c r="V102" i="3"/>
  <c r="V94" i="3"/>
  <c r="V107" i="3"/>
  <c r="V92" i="3"/>
  <c r="V91" i="3"/>
  <c r="V89" i="3"/>
  <c r="V98" i="3"/>
  <c r="V90" i="3"/>
  <c r="V99" i="3"/>
  <c r="V95" i="3"/>
  <c r="V105" i="3"/>
  <c r="V110" i="3"/>
  <c r="V109" i="3"/>
  <c r="V111" i="3"/>
  <c r="V112" i="3"/>
  <c r="V113" i="3"/>
  <c r="V114" i="3"/>
  <c r="V115" i="3"/>
  <c r="V116" i="3"/>
  <c r="V117" i="3"/>
  <c r="T146" i="3"/>
  <c r="J7" i="4"/>
  <c r="J8" i="4" s="1"/>
  <c r="T218" i="3"/>
  <c r="T221" i="3" s="1"/>
  <c r="T29" i="1" s="1"/>
  <c r="J29" i="4" s="1"/>
  <c r="U7" i="1"/>
  <c r="W7" i="6" s="1"/>
  <c r="O36" i="1"/>
  <c r="U232" i="3"/>
  <c r="U22" i="1" s="1"/>
  <c r="P233" i="3"/>
  <c r="P23" i="1" s="1"/>
  <c r="O24" i="1"/>
  <c r="Q9" i="6" s="1"/>
  <c r="P231" i="3"/>
  <c r="V12" i="3"/>
  <c r="U176" i="3"/>
  <c r="U192" i="3"/>
  <c r="U166" i="3"/>
  <c r="U171" i="3"/>
  <c r="U164" i="3"/>
  <c r="U165" i="3"/>
  <c r="U163" i="3"/>
  <c r="U173" i="3"/>
  <c r="U172" i="3"/>
  <c r="U168" i="3"/>
  <c r="U167" i="3"/>
  <c r="U169" i="3"/>
  <c r="U174" i="3"/>
  <c r="U170" i="3"/>
  <c r="V42" i="3"/>
  <c r="V185" i="3" s="1"/>
  <c r="V49" i="3"/>
  <c r="V45" i="3"/>
  <c r="V188" i="3" s="1"/>
  <c r="V41" i="3"/>
  <c r="V184" i="3" s="1"/>
  <c r="V44" i="3"/>
  <c r="V187" i="3" s="1"/>
  <c r="V46" i="3"/>
  <c r="V189" i="3" s="1"/>
  <c r="V47" i="3"/>
  <c r="V190" i="3" s="1"/>
  <c r="V40" i="3"/>
  <c r="V183" i="3" s="1"/>
  <c r="V43" i="3"/>
  <c r="V186" i="3" s="1"/>
  <c r="V48" i="3"/>
  <c r="V191" i="3" s="1"/>
  <c r="V30" i="3"/>
  <c r="V24" i="3"/>
  <c r="V26" i="3"/>
  <c r="V23" i="3"/>
  <c r="V32" i="3"/>
  <c r="V34" i="3"/>
  <c r="V22" i="3"/>
  <c r="V39" i="3"/>
  <c r="V182" i="3" s="1"/>
  <c r="V19" i="3"/>
  <c r="V162" i="3" s="1"/>
  <c r="V28" i="3"/>
  <c r="V37" i="3"/>
  <c r="V180" i="3" s="1"/>
  <c r="V21" i="3"/>
  <c r="V33" i="3"/>
  <c r="V25" i="3"/>
  <c r="V38" i="3"/>
  <c r="V181" i="3" s="1"/>
  <c r="V20" i="3"/>
  <c r="V29" i="3"/>
  <c r="V36" i="3"/>
  <c r="V179" i="3" s="1"/>
  <c r="V31" i="3"/>
  <c r="V27" i="3"/>
  <c r="W5" i="3"/>
  <c r="V5" i="1"/>
  <c r="J10" i="4" l="1"/>
  <c r="V10" i="6"/>
  <c r="V57" i="6"/>
  <c r="V50" i="6"/>
  <c r="V55" i="6"/>
  <c r="V53" i="6"/>
  <c r="Q67" i="6"/>
  <c r="Q66" i="6"/>
  <c r="W57" i="6"/>
  <c r="W50" i="6"/>
  <c r="W53" i="6"/>
  <c r="W55" i="6"/>
  <c r="T48" i="6"/>
  <c r="R49" i="1" s="1"/>
  <c r="T60" i="6"/>
  <c r="R58" i="1" s="1"/>
  <c r="U8" i="1"/>
  <c r="V8" i="6"/>
  <c r="U147" i="3"/>
  <c r="V79" i="3"/>
  <c r="V74" i="3" s="1"/>
  <c r="AH87" i="6"/>
  <c r="U11" i="1"/>
  <c r="W10" i="6" s="1"/>
  <c r="U220" i="3"/>
  <c r="V78" i="3"/>
  <c r="W54" i="3"/>
  <c r="W197" i="3" s="1"/>
  <c r="W140" i="3"/>
  <c r="W118" i="3"/>
  <c r="W67" i="3"/>
  <c r="W210" i="3" s="1"/>
  <c r="W126" i="3"/>
  <c r="W130" i="3"/>
  <c r="W123" i="3"/>
  <c r="W124" i="3"/>
  <c r="W127" i="3"/>
  <c r="W63" i="3"/>
  <c r="W206" i="3" s="1"/>
  <c r="W71" i="3"/>
  <c r="W214" i="3" s="1"/>
  <c r="W70" i="3"/>
  <c r="W213" i="3" s="1"/>
  <c r="W56" i="3"/>
  <c r="W199" i="3" s="1"/>
  <c r="W59" i="3"/>
  <c r="W202" i="3" s="1"/>
  <c r="W69" i="3"/>
  <c r="W212" i="3" s="1"/>
  <c r="W62" i="3"/>
  <c r="W205" i="3" s="1"/>
  <c r="W61" i="3"/>
  <c r="W204" i="3" s="1"/>
  <c r="W55" i="3"/>
  <c r="W198" i="3" s="1"/>
  <c r="W66" i="3"/>
  <c r="W209" i="3" s="1"/>
  <c r="W68" i="3"/>
  <c r="W211" i="3" s="1"/>
  <c r="W64" i="3"/>
  <c r="W207" i="3" s="1"/>
  <c r="W139" i="3"/>
  <c r="W58" i="3"/>
  <c r="W201" i="3" s="1"/>
  <c r="W60" i="3"/>
  <c r="W203" i="3" s="1"/>
  <c r="W72" i="3"/>
  <c r="W215" i="3" s="1"/>
  <c r="W57" i="3"/>
  <c r="W200" i="3" s="1"/>
  <c r="W53" i="3"/>
  <c r="W196" i="3" s="1"/>
  <c r="W65" i="3"/>
  <c r="W208" i="3" s="1"/>
  <c r="W121" i="3"/>
  <c r="W125" i="3"/>
  <c r="W136" i="3"/>
  <c r="W129" i="3"/>
  <c r="W132" i="3"/>
  <c r="W137" i="3"/>
  <c r="W131" i="3"/>
  <c r="W134" i="3"/>
  <c r="W138" i="3"/>
  <c r="W119" i="3"/>
  <c r="W135" i="3"/>
  <c r="W133" i="3"/>
  <c r="W122" i="3"/>
  <c r="W128" i="3"/>
  <c r="W50" i="3"/>
  <c r="W193" i="3" s="1"/>
  <c r="W51" i="3"/>
  <c r="W194" i="3" s="1"/>
  <c r="W237" i="3"/>
  <c r="W100" i="3"/>
  <c r="W106" i="3"/>
  <c r="W96" i="3"/>
  <c r="W88" i="3"/>
  <c r="W101" i="3"/>
  <c r="W93" i="3"/>
  <c r="W97" i="3"/>
  <c r="W92" i="3"/>
  <c r="W108" i="3"/>
  <c r="W104" i="3"/>
  <c r="W98" i="3"/>
  <c r="W107" i="3"/>
  <c r="W87" i="3"/>
  <c r="W91" i="3"/>
  <c r="W90" i="3"/>
  <c r="W102" i="3"/>
  <c r="W94" i="3"/>
  <c r="W89" i="3"/>
  <c r="W95" i="3"/>
  <c r="W105" i="3"/>
  <c r="W99" i="3"/>
  <c r="W109" i="3"/>
  <c r="W110" i="3"/>
  <c r="W111" i="3"/>
  <c r="W112" i="3"/>
  <c r="W113" i="3"/>
  <c r="W114" i="3"/>
  <c r="W115" i="3"/>
  <c r="W116" i="3"/>
  <c r="W117" i="3"/>
  <c r="U218" i="3"/>
  <c r="U221" i="3" s="1"/>
  <c r="U29" i="1" s="1"/>
  <c r="P234" i="3"/>
  <c r="P239" i="3" s="1"/>
  <c r="P35" i="1" s="1"/>
  <c r="U146" i="3"/>
  <c r="V7" i="1"/>
  <c r="T71" i="1"/>
  <c r="J60" i="4" s="1"/>
  <c r="W12" i="3"/>
  <c r="V232" i="3"/>
  <c r="V22" i="1" s="1"/>
  <c r="V163" i="3"/>
  <c r="V174" i="3"/>
  <c r="V165" i="3"/>
  <c r="V169" i="3"/>
  <c r="V192" i="3"/>
  <c r="V168" i="3"/>
  <c r="V171" i="3"/>
  <c r="V177" i="3"/>
  <c r="V167" i="3"/>
  <c r="V170" i="3"/>
  <c r="V164" i="3"/>
  <c r="V166" i="3"/>
  <c r="V172" i="3"/>
  <c r="V176" i="3"/>
  <c r="V175" i="3"/>
  <c r="V173" i="3"/>
  <c r="W48" i="3"/>
  <c r="W191" i="3" s="1"/>
  <c r="W44" i="3"/>
  <c r="W187" i="3" s="1"/>
  <c r="W46" i="3"/>
  <c r="W189" i="3" s="1"/>
  <c r="W47" i="3"/>
  <c r="W190" i="3" s="1"/>
  <c r="W40" i="3"/>
  <c r="W183" i="3" s="1"/>
  <c r="W45" i="3"/>
  <c r="W188" i="3" s="1"/>
  <c r="W42" i="3"/>
  <c r="W185" i="3" s="1"/>
  <c r="W41" i="3"/>
  <c r="W184" i="3" s="1"/>
  <c r="W43" i="3"/>
  <c r="W186" i="3" s="1"/>
  <c r="W49" i="3"/>
  <c r="W28" i="3"/>
  <c r="W171" i="3" s="1"/>
  <c r="W37" i="3"/>
  <c r="W180" i="3" s="1"/>
  <c r="W24" i="3"/>
  <c r="W29" i="3"/>
  <c r="W23" i="3"/>
  <c r="W22" i="3"/>
  <c r="W19" i="3"/>
  <c r="W162" i="3" s="1"/>
  <c r="W32" i="3"/>
  <c r="W33" i="3"/>
  <c r="W25" i="3"/>
  <c r="W38" i="3"/>
  <c r="W181" i="3" s="1"/>
  <c r="W34" i="3"/>
  <c r="W26" i="3"/>
  <c r="W21" i="3"/>
  <c r="W31" i="3"/>
  <c r="W20" i="3"/>
  <c r="W30" i="3"/>
  <c r="W27" i="3"/>
  <c r="W39" i="3"/>
  <c r="W182" i="3" s="1"/>
  <c r="W36" i="3"/>
  <c r="X5" i="3"/>
  <c r="W5" i="1"/>
  <c r="U71" i="1" l="1"/>
  <c r="X7" i="6"/>
  <c r="W35" i="6"/>
  <c r="W37" i="6"/>
  <c r="V37" i="6"/>
  <c r="V35" i="6"/>
  <c r="V8" i="1"/>
  <c r="W8" i="6"/>
  <c r="U60" i="6"/>
  <c r="S58" i="1" s="1"/>
  <c r="U48" i="6"/>
  <c r="S49" i="1" s="1"/>
  <c r="L60" i="6"/>
  <c r="V147" i="3"/>
  <c r="W79" i="3"/>
  <c r="W74" i="3" s="1"/>
  <c r="AI87" i="6"/>
  <c r="V11" i="1"/>
  <c r="X10" i="6" s="1"/>
  <c r="V220" i="3"/>
  <c r="W78" i="3"/>
  <c r="X139" i="3"/>
  <c r="X140" i="3"/>
  <c r="X71" i="3"/>
  <c r="X214" i="3" s="1"/>
  <c r="X66" i="3"/>
  <c r="X209" i="3" s="1"/>
  <c r="X54" i="3"/>
  <c r="X197" i="3" s="1"/>
  <c r="X118" i="3"/>
  <c r="X64" i="3"/>
  <c r="X207" i="3" s="1"/>
  <c r="X55" i="3"/>
  <c r="X198" i="3" s="1"/>
  <c r="X67" i="3"/>
  <c r="X210" i="3" s="1"/>
  <c r="X58" i="3"/>
  <c r="X201" i="3" s="1"/>
  <c r="X61" i="3"/>
  <c r="X204" i="3" s="1"/>
  <c r="X68" i="3"/>
  <c r="X211" i="3" s="1"/>
  <c r="X65" i="3"/>
  <c r="X208" i="3" s="1"/>
  <c r="X63" i="3"/>
  <c r="X206" i="3" s="1"/>
  <c r="X60" i="3"/>
  <c r="X203" i="3" s="1"/>
  <c r="X70" i="3"/>
  <c r="X213" i="3" s="1"/>
  <c r="X72" i="3"/>
  <c r="X215" i="3" s="1"/>
  <c r="X69" i="3"/>
  <c r="X212" i="3" s="1"/>
  <c r="X59" i="3"/>
  <c r="X202" i="3" s="1"/>
  <c r="X56" i="3"/>
  <c r="X199" i="3" s="1"/>
  <c r="X123" i="3"/>
  <c r="X57" i="3"/>
  <c r="X200" i="3" s="1"/>
  <c r="X62" i="3"/>
  <c r="X205" i="3" s="1"/>
  <c r="X53" i="3"/>
  <c r="X196" i="3" s="1"/>
  <c r="X125" i="3"/>
  <c r="X131" i="3"/>
  <c r="X134" i="3"/>
  <c r="X124" i="3"/>
  <c r="X136" i="3"/>
  <c r="X129" i="3"/>
  <c r="X126" i="3"/>
  <c r="X121" i="3"/>
  <c r="X130" i="3"/>
  <c r="X119" i="3"/>
  <c r="X137" i="3"/>
  <c r="X138" i="3"/>
  <c r="X133" i="3"/>
  <c r="X135" i="3"/>
  <c r="X132" i="3"/>
  <c r="X128" i="3"/>
  <c r="X122" i="3"/>
  <c r="X127" i="3"/>
  <c r="X50" i="3"/>
  <c r="X193" i="3" s="1"/>
  <c r="X51" i="3"/>
  <c r="X194" i="3" s="1"/>
  <c r="X237" i="3"/>
  <c r="X106" i="3"/>
  <c r="X96" i="3"/>
  <c r="X100" i="3"/>
  <c r="X87" i="3"/>
  <c r="X101" i="3"/>
  <c r="X93" i="3"/>
  <c r="X88" i="3"/>
  <c r="X104" i="3"/>
  <c r="X92" i="3"/>
  <c r="X97" i="3"/>
  <c r="X108" i="3"/>
  <c r="X102" i="3"/>
  <c r="X94" i="3"/>
  <c r="X91" i="3"/>
  <c r="X89" i="3"/>
  <c r="X98" i="3"/>
  <c r="X107" i="3"/>
  <c r="X90" i="3"/>
  <c r="X95" i="3"/>
  <c r="X105" i="3"/>
  <c r="X99" i="3"/>
  <c r="X109" i="3"/>
  <c r="X110" i="3"/>
  <c r="X111" i="3"/>
  <c r="X112" i="3"/>
  <c r="X113" i="3"/>
  <c r="X114" i="3"/>
  <c r="X115" i="3"/>
  <c r="X116" i="3"/>
  <c r="X117" i="3"/>
  <c r="V146" i="3"/>
  <c r="V218" i="3"/>
  <c r="V221" i="3" s="1"/>
  <c r="V29" i="1" s="1"/>
  <c r="W7" i="1"/>
  <c r="Y7" i="6" s="1"/>
  <c r="Q233" i="3"/>
  <c r="Q23" i="1" s="1"/>
  <c r="I23" i="4" s="1"/>
  <c r="F24" i="2" s="1"/>
  <c r="P24" i="1"/>
  <c r="R9" i="6" s="1"/>
  <c r="Q231" i="3"/>
  <c r="P36" i="1"/>
  <c r="X12" i="3"/>
  <c r="W232" i="3"/>
  <c r="W22" i="1" s="1"/>
  <c r="K22" i="4" s="1"/>
  <c r="W164" i="3"/>
  <c r="W179" i="3"/>
  <c r="W163" i="3"/>
  <c r="W177" i="3"/>
  <c r="W175" i="3"/>
  <c r="W172" i="3"/>
  <c r="W192" i="3"/>
  <c r="W174" i="3"/>
  <c r="W167" i="3"/>
  <c r="W165" i="3"/>
  <c r="W170" i="3"/>
  <c r="W168" i="3"/>
  <c r="W173" i="3"/>
  <c r="W169" i="3"/>
  <c r="W176" i="3"/>
  <c r="W166" i="3"/>
  <c r="X45" i="3"/>
  <c r="X188" i="3" s="1"/>
  <c r="X41" i="3"/>
  <c r="X184" i="3" s="1"/>
  <c r="X42" i="3"/>
  <c r="X185" i="3" s="1"/>
  <c r="X48" i="3"/>
  <c r="X191" i="3" s="1"/>
  <c r="X49" i="3"/>
  <c r="X47" i="3"/>
  <c r="X190" i="3" s="1"/>
  <c r="X43" i="3"/>
  <c r="X186" i="3" s="1"/>
  <c r="X44" i="3"/>
  <c r="X187" i="3" s="1"/>
  <c r="X46" i="3"/>
  <c r="X189" i="3" s="1"/>
  <c r="X40" i="3"/>
  <c r="X183" i="3" s="1"/>
  <c r="X27" i="3"/>
  <c r="X26" i="3"/>
  <c r="X22" i="3"/>
  <c r="X33" i="3"/>
  <c r="X31" i="3"/>
  <c r="X25" i="3"/>
  <c r="X39" i="3"/>
  <c r="X182" i="3" s="1"/>
  <c r="X38" i="3"/>
  <c r="X181" i="3" s="1"/>
  <c r="X29" i="3"/>
  <c r="X172" i="3" s="1"/>
  <c r="X34" i="3"/>
  <c r="X20" i="3"/>
  <c r="X19" i="3"/>
  <c r="X162" i="3" s="1"/>
  <c r="X32" i="3"/>
  <c r="X21" i="3"/>
  <c r="X37" i="3"/>
  <c r="X28" i="3"/>
  <c r="X36" i="3"/>
  <c r="X30" i="3"/>
  <c r="X23" i="3"/>
  <c r="X24" i="3"/>
  <c r="Y5" i="3"/>
  <c r="X5" i="1"/>
  <c r="Y50" i="6" l="1"/>
  <c r="Y53" i="6"/>
  <c r="Y57" i="6"/>
  <c r="Y55" i="6"/>
  <c r="X35" i="6"/>
  <c r="X37" i="6"/>
  <c r="X50" i="6"/>
  <c r="X57" i="6"/>
  <c r="X55" i="6"/>
  <c r="X53" i="6"/>
  <c r="R67" i="6"/>
  <c r="R66" i="6"/>
  <c r="W8" i="1"/>
  <c r="X8" i="6"/>
  <c r="V60" i="6"/>
  <c r="T58" i="1" s="1"/>
  <c r="V48" i="6"/>
  <c r="T49" i="1" s="1"/>
  <c r="W147" i="3"/>
  <c r="X79" i="3"/>
  <c r="X74" i="3" s="1"/>
  <c r="AJ87" i="6"/>
  <c r="W11" i="1"/>
  <c r="W220" i="3"/>
  <c r="X78" i="3"/>
  <c r="Y139" i="3"/>
  <c r="Y140" i="3"/>
  <c r="Y63" i="3"/>
  <c r="Y206" i="3" s="1"/>
  <c r="Y118" i="3"/>
  <c r="Y126" i="3"/>
  <c r="Y72" i="3"/>
  <c r="Y215" i="3" s="1"/>
  <c r="Y69" i="3"/>
  <c r="Y212" i="3" s="1"/>
  <c r="Y124" i="3"/>
  <c r="Y123" i="3"/>
  <c r="Y61" i="3"/>
  <c r="Y204" i="3" s="1"/>
  <c r="Y67" i="3"/>
  <c r="Y210" i="3" s="1"/>
  <c r="Y64" i="3"/>
  <c r="Y207" i="3" s="1"/>
  <c r="Y65" i="3"/>
  <c r="Y208" i="3" s="1"/>
  <c r="Y71" i="3"/>
  <c r="Y214" i="3" s="1"/>
  <c r="Y66" i="3"/>
  <c r="Y209" i="3" s="1"/>
  <c r="Y56" i="3"/>
  <c r="Y199" i="3" s="1"/>
  <c r="Y62" i="3"/>
  <c r="Y205" i="3" s="1"/>
  <c r="Y59" i="3"/>
  <c r="Y202" i="3" s="1"/>
  <c r="Y55" i="3"/>
  <c r="Y198" i="3" s="1"/>
  <c r="Y68" i="3"/>
  <c r="Y211" i="3" s="1"/>
  <c r="Y70" i="3"/>
  <c r="Y213" i="3" s="1"/>
  <c r="Y60" i="3"/>
  <c r="Y203" i="3" s="1"/>
  <c r="Y54" i="3"/>
  <c r="Y197" i="3" s="1"/>
  <c r="Y58" i="3"/>
  <c r="Y201" i="3" s="1"/>
  <c r="Y53" i="3"/>
  <c r="Y196" i="3" s="1"/>
  <c r="Y57" i="3"/>
  <c r="Y200" i="3" s="1"/>
  <c r="Y130" i="3"/>
  <c r="Y136" i="3"/>
  <c r="Y129" i="3"/>
  <c r="Y121" i="3"/>
  <c r="Y132" i="3"/>
  <c r="Y128" i="3"/>
  <c r="Y125" i="3"/>
  <c r="Y131" i="3"/>
  <c r="Y134" i="3"/>
  <c r="Y122" i="3"/>
  <c r="Y127" i="3"/>
  <c r="Y133" i="3"/>
  <c r="Y119" i="3"/>
  <c r="Y135" i="3"/>
  <c r="Y137" i="3"/>
  <c r="Y138" i="3"/>
  <c r="Y51" i="3"/>
  <c r="Y194" i="3" s="1"/>
  <c r="Y50" i="3"/>
  <c r="Y193" i="3" s="1"/>
  <c r="W146" i="3"/>
  <c r="Y237" i="3"/>
  <c r="Y106" i="3"/>
  <c r="Y88" i="3"/>
  <c r="Y96" i="3"/>
  <c r="Y97" i="3"/>
  <c r="Y101" i="3"/>
  <c r="Y100" i="3"/>
  <c r="Y92" i="3"/>
  <c r="Y87" i="3"/>
  <c r="Y93" i="3"/>
  <c r="Y89" i="3"/>
  <c r="Y91" i="3"/>
  <c r="Y98" i="3"/>
  <c r="Y104" i="3"/>
  <c r="Y94" i="3"/>
  <c r="Y107" i="3"/>
  <c r="Y102" i="3"/>
  <c r="Y90" i="3"/>
  <c r="Y108" i="3"/>
  <c r="Y95" i="3"/>
  <c r="Y105" i="3"/>
  <c r="Y99" i="3"/>
  <c r="Y110" i="3"/>
  <c r="Y109" i="3"/>
  <c r="Y111" i="3"/>
  <c r="Y112" i="3"/>
  <c r="Y113" i="3"/>
  <c r="Y114" i="3"/>
  <c r="Y115" i="3"/>
  <c r="Y116" i="3"/>
  <c r="Y117" i="3"/>
  <c r="W218" i="3"/>
  <c r="W221" i="3" s="1"/>
  <c r="W29" i="1" s="1"/>
  <c r="K29" i="4" s="1"/>
  <c r="Q234" i="3"/>
  <c r="Q239" i="3" s="1"/>
  <c r="Q35" i="1" s="1"/>
  <c r="V71" i="1"/>
  <c r="K7" i="4"/>
  <c r="K8" i="4" s="1"/>
  <c r="X7" i="1"/>
  <c r="Z7" i="6" s="1"/>
  <c r="Y12" i="3"/>
  <c r="X232" i="3"/>
  <c r="X22" i="1" s="1"/>
  <c r="X175" i="3"/>
  <c r="X174" i="3"/>
  <c r="X170" i="3"/>
  <c r="X167" i="3"/>
  <c r="X171" i="3"/>
  <c r="X176" i="3"/>
  <c r="X179" i="3"/>
  <c r="X166" i="3"/>
  <c r="X180" i="3"/>
  <c r="X163" i="3"/>
  <c r="X165" i="3"/>
  <c r="X192" i="3"/>
  <c r="X173" i="3"/>
  <c r="X164" i="3"/>
  <c r="X177" i="3"/>
  <c r="X168" i="3"/>
  <c r="X169" i="3"/>
  <c r="Y49" i="3"/>
  <c r="Y44" i="3"/>
  <c r="Y187" i="3" s="1"/>
  <c r="Y46" i="3"/>
  <c r="Y189" i="3" s="1"/>
  <c r="Y45" i="3"/>
  <c r="Y188" i="3" s="1"/>
  <c r="Y41" i="3"/>
  <c r="Y184" i="3" s="1"/>
  <c r="Y47" i="3"/>
  <c r="Y190" i="3" s="1"/>
  <c r="Y42" i="3"/>
  <c r="Y185" i="3" s="1"/>
  <c r="Y40" i="3"/>
  <c r="Y183" i="3" s="1"/>
  <c r="Y43" i="3"/>
  <c r="Y186" i="3" s="1"/>
  <c r="Y48" i="3"/>
  <c r="Y191" i="3" s="1"/>
  <c r="Y20" i="3"/>
  <c r="Y29" i="3"/>
  <c r="Y30" i="3"/>
  <c r="Y173" i="3" s="1"/>
  <c r="Y31" i="3"/>
  <c r="Y33" i="3"/>
  <c r="Y27" i="3"/>
  <c r="Y26" i="3"/>
  <c r="Y169" i="3" s="1"/>
  <c r="Y22" i="3"/>
  <c r="Y25" i="3"/>
  <c r="Y37" i="3"/>
  <c r="Y28" i="3"/>
  <c r="Y171" i="3" s="1"/>
  <c r="Y21" i="3"/>
  <c r="Y39" i="3"/>
  <c r="Y182" i="3" s="1"/>
  <c r="Y38" i="3"/>
  <c r="Y181" i="3" s="1"/>
  <c r="Y23" i="3"/>
  <c r="Y166" i="3" s="1"/>
  <c r="Y24" i="3"/>
  <c r="Y19" i="3"/>
  <c r="Y162" i="3" s="1"/>
  <c r="Y36" i="3"/>
  <c r="Y34" i="3"/>
  <c r="Y177" i="3" s="1"/>
  <c r="Y32" i="3"/>
  <c r="Y5" i="1"/>
  <c r="G80" i="3"/>
  <c r="G146" i="3"/>
  <c r="F80" i="3"/>
  <c r="F146" i="3"/>
  <c r="F149" i="3" s="1"/>
  <c r="Z5" i="3"/>
  <c r="Z50" i="6" l="1"/>
  <c r="Z53" i="6"/>
  <c r="Z57" i="6"/>
  <c r="Z55" i="6"/>
  <c r="K10" i="4"/>
  <c r="Y10" i="6"/>
  <c r="W60" i="6"/>
  <c r="U58" i="1" s="1"/>
  <c r="W48" i="6"/>
  <c r="U49" i="1" s="1"/>
  <c r="X8" i="1"/>
  <c r="Y8" i="6"/>
  <c r="X147" i="3"/>
  <c r="Y79" i="3"/>
  <c r="Y74" i="3" s="1"/>
  <c r="AK87" i="6"/>
  <c r="X11" i="1"/>
  <c r="Z10" i="6" s="1"/>
  <c r="X220" i="3"/>
  <c r="Y78" i="3"/>
  <c r="Z140" i="3"/>
  <c r="Z139" i="3"/>
  <c r="Z118" i="3"/>
  <c r="Z137" i="3"/>
  <c r="Z133" i="3"/>
  <c r="Z124" i="3"/>
  <c r="Z123" i="3"/>
  <c r="Z54" i="3"/>
  <c r="Z197" i="3" s="1"/>
  <c r="Z72" i="3"/>
  <c r="Z215" i="3" s="1"/>
  <c r="Z126" i="3"/>
  <c r="Z60" i="3"/>
  <c r="Z203" i="3" s="1"/>
  <c r="Z55" i="3"/>
  <c r="Z198" i="3" s="1"/>
  <c r="Z63" i="3"/>
  <c r="Z206" i="3" s="1"/>
  <c r="Z71" i="3"/>
  <c r="Z214" i="3" s="1"/>
  <c r="Z70" i="3"/>
  <c r="Z213" i="3" s="1"/>
  <c r="Z64" i="3"/>
  <c r="Z207" i="3" s="1"/>
  <c r="Z67" i="3"/>
  <c r="Z210" i="3" s="1"/>
  <c r="Z69" i="3"/>
  <c r="Z212" i="3" s="1"/>
  <c r="Z119" i="3"/>
  <c r="Z68" i="3"/>
  <c r="Z211" i="3" s="1"/>
  <c r="Z61" i="3"/>
  <c r="Z204" i="3" s="1"/>
  <c r="Z131" i="3"/>
  <c r="Z59" i="3"/>
  <c r="Z202" i="3" s="1"/>
  <c r="Z66" i="3"/>
  <c r="Z209" i="3" s="1"/>
  <c r="Z56" i="3"/>
  <c r="Z199" i="3" s="1"/>
  <c r="Z65" i="3"/>
  <c r="Z208" i="3" s="1"/>
  <c r="Z62" i="3"/>
  <c r="Z205" i="3" s="1"/>
  <c r="Z57" i="3"/>
  <c r="Z200" i="3" s="1"/>
  <c r="Z58" i="3"/>
  <c r="Z201" i="3" s="1"/>
  <c r="Z53" i="3"/>
  <c r="Z196" i="3" s="1"/>
  <c r="Z130" i="3"/>
  <c r="Z122" i="3"/>
  <c r="Z135" i="3"/>
  <c r="Z125" i="3"/>
  <c r="Z121" i="3"/>
  <c r="Z129" i="3"/>
  <c r="Z132" i="3"/>
  <c r="Z128" i="3"/>
  <c r="Z138" i="3"/>
  <c r="Z134" i="3"/>
  <c r="Z127" i="3"/>
  <c r="Z136" i="3"/>
  <c r="Z51" i="3"/>
  <c r="Z194" i="3" s="1"/>
  <c r="Z50" i="3"/>
  <c r="Z193" i="3" s="1"/>
  <c r="Z237" i="3"/>
  <c r="Z96" i="3"/>
  <c r="Z92" i="3"/>
  <c r="Z106" i="3"/>
  <c r="Z100" i="3"/>
  <c r="Z87" i="3"/>
  <c r="Z93" i="3"/>
  <c r="Z101" i="3"/>
  <c r="Z88" i="3"/>
  <c r="Z89" i="3"/>
  <c r="Z97" i="3"/>
  <c r="Z108" i="3"/>
  <c r="Z102" i="3"/>
  <c r="Z104" i="3"/>
  <c r="Z107" i="3"/>
  <c r="Z91" i="3"/>
  <c r="Z94" i="3"/>
  <c r="Z90" i="3"/>
  <c r="Z98" i="3"/>
  <c r="Z105" i="3"/>
  <c r="Z99" i="3"/>
  <c r="Z95" i="3"/>
  <c r="Z109" i="3"/>
  <c r="Z110" i="3"/>
  <c r="Z111" i="3"/>
  <c r="Z112" i="3"/>
  <c r="Z113" i="3"/>
  <c r="Z114" i="3"/>
  <c r="Z115" i="3"/>
  <c r="Z116" i="3"/>
  <c r="Z117" i="3"/>
  <c r="X146" i="3"/>
  <c r="Q36" i="1"/>
  <c r="I34" i="4"/>
  <c r="Y7" i="1"/>
  <c r="W71" i="1"/>
  <c r="K60" i="4" s="1"/>
  <c r="R233" i="3"/>
  <c r="R23" i="1" s="1"/>
  <c r="Q24" i="1"/>
  <c r="R231" i="3"/>
  <c r="X218" i="3"/>
  <c r="X221" i="3" s="1"/>
  <c r="X29" i="1" s="1"/>
  <c r="F82" i="3"/>
  <c r="F18" i="1" s="1"/>
  <c r="F152" i="3"/>
  <c r="F154" i="3" s="1"/>
  <c r="F12" i="1"/>
  <c r="G145" i="3"/>
  <c r="G149" i="3" s="1"/>
  <c r="G82" i="3"/>
  <c r="G18" i="1" s="1"/>
  <c r="G152" i="3"/>
  <c r="G153" i="3" s="1"/>
  <c r="G222" i="3"/>
  <c r="F222" i="3"/>
  <c r="Z12" i="3"/>
  <c r="Y232" i="3"/>
  <c r="Y22" i="1" s="1"/>
  <c r="Y179" i="3"/>
  <c r="Y170" i="3"/>
  <c r="Y168" i="3"/>
  <c r="Y176" i="3"/>
  <c r="Y163" i="3"/>
  <c r="Y172" i="3"/>
  <c r="Y175" i="3"/>
  <c r="Y167" i="3"/>
  <c r="Y164" i="3"/>
  <c r="Y165" i="3"/>
  <c r="Y174" i="3"/>
  <c r="Y180" i="3"/>
  <c r="Y192" i="3"/>
  <c r="Z48" i="3"/>
  <c r="Z191" i="3" s="1"/>
  <c r="Z40" i="3"/>
  <c r="Z183" i="3" s="1"/>
  <c r="Z47" i="3"/>
  <c r="Z190" i="3" s="1"/>
  <c r="Z49" i="3"/>
  <c r="Z42" i="3"/>
  <c r="Z185" i="3" s="1"/>
  <c r="Z46" i="3"/>
  <c r="Z189" i="3" s="1"/>
  <c r="Z45" i="3"/>
  <c r="Z188" i="3" s="1"/>
  <c r="Z41" i="3"/>
  <c r="Z184" i="3" s="1"/>
  <c r="Z43" i="3"/>
  <c r="Z186" i="3" s="1"/>
  <c r="Z44" i="3"/>
  <c r="Z187" i="3" s="1"/>
  <c r="Z28" i="3"/>
  <c r="Z22" i="3"/>
  <c r="Z21" i="3"/>
  <c r="Z164" i="3" s="1"/>
  <c r="Z24" i="3"/>
  <c r="Z32" i="3"/>
  <c r="Z30" i="3"/>
  <c r="Z29" i="3"/>
  <c r="Z172" i="3" s="1"/>
  <c r="Z20" i="3"/>
  <c r="Z39" i="3"/>
  <c r="Z182" i="3" s="1"/>
  <c r="Z38" i="3"/>
  <c r="Z181" i="3" s="1"/>
  <c r="Z31" i="3"/>
  <c r="Z174" i="3" s="1"/>
  <c r="Z23" i="3"/>
  <c r="Z34" i="3"/>
  <c r="Z25" i="3"/>
  <c r="Z36" i="3"/>
  <c r="Z179" i="3" s="1"/>
  <c r="Z27" i="3"/>
  <c r="Z19" i="3"/>
  <c r="Z162" i="3" s="1"/>
  <c r="Z33" i="3"/>
  <c r="Z37" i="3"/>
  <c r="Z180" i="3" s="1"/>
  <c r="Z26" i="3"/>
  <c r="H80" i="3"/>
  <c r="AA5" i="3"/>
  <c r="Z5" i="1"/>
  <c r="Z37" i="6" l="1"/>
  <c r="Z35" i="6"/>
  <c r="I24" i="4"/>
  <c r="F25" i="2" s="1"/>
  <c r="F84" i="2" s="1"/>
  <c r="S9" i="6"/>
  <c r="X71" i="1"/>
  <c r="AA7" i="6"/>
  <c r="Y37" i="6"/>
  <c r="Y35" i="6"/>
  <c r="M79" i="6"/>
  <c r="K59" i="1" s="1"/>
  <c r="X60" i="6"/>
  <c r="V58" i="1" s="1"/>
  <c r="X48" i="6"/>
  <c r="V49" i="1" s="1"/>
  <c r="Y8" i="1"/>
  <c r="Z8" i="6"/>
  <c r="M60" i="6"/>
  <c r="Z79" i="3"/>
  <c r="Z74" i="3" s="1"/>
  <c r="Y147" i="3"/>
  <c r="AL87" i="6"/>
  <c r="Y11" i="1"/>
  <c r="AA10" i="6" s="1"/>
  <c r="Y220" i="3"/>
  <c r="Y146" i="3"/>
  <c r="Z78" i="3"/>
  <c r="AA140" i="3"/>
  <c r="AA123" i="3"/>
  <c r="AA139" i="3"/>
  <c r="AA125" i="3"/>
  <c r="AA126" i="3"/>
  <c r="AA67" i="3"/>
  <c r="AA210" i="3" s="1"/>
  <c r="AA54" i="3"/>
  <c r="AA197" i="3" s="1"/>
  <c r="AA124" i="3"/>
  <c r="AA127" i="3"/>
  <c r="AA122" i="3"/>
  <c r="AA68" i="3"/>
  <c r="AA211" i="3" s="1"/>
  <c r="AA58" i="3"/>
  <c r="AA201" i="3" s="1"/>
  <c r="AA59" i="3"/>
  <c r="AA202" i="3" s="1"/>
  <c r="AA70" i="3"/>
  <c r="AA213" i="3" s="1"/>
  <c r="AA60" i="3"/>
  <c r="AA203" i="3" s="1"/>
  <c r="AA56" i="3"/>
  <c r="AA199" i="3" s="1"/>
  <c r="AA118" i="3"/>
  <c r="AA66" i="3"/>
  <c r="AA209" i="3" s="1"/>
  <c r="AA63" i="3"/>
  <c r="AA206" i="3" s="1"/>
  <c r="AA64" i="3"/>
  <c r="AA207" i="3" s="1"/>
  <c r="AA61" i="3"/>
  <c r="AA204" i="3" s="1"/>
  <c r="AA69" i="3"/>
  <c r="AA212" i="3" s="1"/>
  <c r="AA55" i="3"/>
  <c r="AA198" i="3" s="1"/>
  <c r="AA65" i="3"/>
  <c r="AA208" i="3" s="1"/>
  <c r="AA62" i="3"/>
  <c r="AA205" i="3" s="1"/>
  <c r="AA71" i="3"/>
  <c r="AA214" i="3" s="1"/>
  <c r="AA72" i="3"/>
  <c r="AA215" i="3" s="1"/>
  <c r="AA57" i="3"/>
  <c r="AA200" i="3" s="1"/>
  <c r="AA53" i="3"/>
  <c r="AA196" i="3" s="1"/>
  <c r="AA134" i="3"/>
  <c r="AA131" i="3"/>
  <c r="AA136" i="3"/>
  <c r="AA133" i="3"/>
  <c r="AA135" i="3"/>
  <c r="AA138" i="3"/>
  <c r="AA128" i="3"/>
  <c r="AA137" i="3"/>
  <c r="AA132" i="3"/>
  <c r="AA121" i="3"/>
  <c r="AA129" i="3"/>
  <c r="AA130" i="3"/>
  <c r="AA119" i="3"/>
  <c r="AA50" i="3"/>
  <c r="AA193" i="3" s="1"/>
  <c r="AA51" i="3"/>
  <c r="AA194" i="3" s="1"/>
  <c r="AA237" i="3"/>
  <c r="AA101" i="3"/>
  <c r="AA93" i="3"/>
  <c r="AA92" i="3"/>
  <c r="AA97" i="3"/>
  <c r="AA88" i="3"/>
  <c r="AA106" i="3"/>
  <c r="AA100" i="3"/>
  <c r="AA87" i="3"/>
  <c r="AA104" i="3"/>
  <c r="AA102" i="3"/>
  <c r="AA90" i="3"/>
  <c r="AA89" i="3"/>
  <c r="AA98" i="3"/>
  <c r="AA94" i="3"/>
  <c r="AA96" i="3"/>
  <c r="AA91" i="3"/>
  <c r="AA108" i="3"/>
  <c r="AA107" i="3"/>
  <c r="AA99" i="3"/>
  <c r="AA95" i="3"/>
  <c r="AA105" i="3"/>
  <c r="AA110" i="3"/>
  <c r="AA109" i="3"/>
  <c r="AA111" i="3"/>
  <c r="AA112" i="3"/>
  <c r="AA113" i="3"/>
  <c r="AA114" i="3"/>
  <c r="AA115" i="3"/>
  <c r="AA116" i="3"/>
  <c r="AA117" i="3"/>
  <c r="Z7" i="1"/>
  <c r="R234" i="3"/>
  <c r="R239" i="3" s="1"/>
  <c r="R35" i="1" s="1"/>
  <c r="I35" i="4"/>
  <c r="G223" i="3"/>
  <c r="G30" i="1"/>
  <c r="G42" i="1" s="1"/>
  <c r="G43" i="1" s="1"/>
  <c r="F223" i="3"/>
  <c r="F30" i="1"/>
  <c r="F20" i="1"/>
  <c r="H12" i="6" s="1"/>
  <c r="G151" i="3"/>
  <c r="G154" i="3" s="1"/>
  <c r="H82" i="3"/>
  <c r="H18" i="1" s="1"/>
  <c r="H152" i="3"/>
  <c r="H153" i="3" s="1"/>
  <c r="F157" i="3"/>
  <c r="F31" i="1" s="1"/>
  <c r="H145" i="3"/>
  <c r="G12" i="1"/>
  <c r="H146" i="3"/>
  <c r="AA12" i="3"/>
  <c r="Z232" i="3"/>
  <c r="Z22" i="1" s="1"/>
  <c r="L22" i="4" s="1"/>
  <c r="H222" i="3"/>
  <c r="H30" i="1" s="1"/>
  <c r="H42" i="1" s="1"/>
  <c r="H43" i="1" s="1"/>
  <c r="Z176" i="3"/>
  <c r="Z168" i="3"/>
  <c r="Z173" i="3"/>
  <c r="Z165" i="3"/>
  <c r="Z192" i="3"/>
  <c r="Z177" i="3"/>
  <c r="Z175" i="3"/>
  <c r="Z171" i="3"/>
  <c r="Z169" i="3"/>
  <c r="Z170" i="3"/>
  <c r="Z166" i="3"/>
  <c r="Z163" i="3"/>
  <c r="Z167" i="3"/>
  <c r="AA48" i="3"/>
  <c r="AA191" i="3" s="1"/>
  <c r="AA41" i="3"/>
  <c r="AA184" i="3" s="1"/>
  <c r="AA44" i="3"/>
  <c r="AA187" i="3" s="1"/>
  <c r="AA46" i="3"/>
  <c r="AA189" i="3" s="1"/>
  <c r="AA40" i="3"/>
  <c r="AA183" i="3" s="1"/>
  <c r="AA43" i="3"/>
  <c r="AA186" i="3" s="1"/>
  <c r="AA49" i="3"/>
  <c r="AA47" i="3"/>
  <c r="AA190" i="3" s="1"/>
  <c r="AA42" i="3"/>
  <c r="AA185" i="3" s="1"/>
  <c r="AA45" i="3"/>
  <c r="AA188" i="3" s="1"/>
  <c r="AA39" i="3"/>
  <c r="AA182" i="3" s="1"/>
  <c r="AA32" i="3"/>
  <c r="AA30" i="3"/>
  <c r="AA28" i="3"/>
  <c r="AA29" i="3"/>
  <c r="AA172" i="3" s="1"/>
  <c r="AA22" i="3"/>
  <c r="AA21" i="3"/>
  <c r="AA24" i="3"/>
  <c r="AA20" i="3"/>
  <c r="AA31" i="3"/>
  <c r="AA33" i="3"/>
  <c r="AA19" i="3"/>
  <c r="AA162" i="3" s="1"/>
  <c r="AA36" i="3"/>
  <c r="AA26" i="3"/>
  <c r="AA27" i="3"/>
  <c r="AA38" i="3"/>
  <c r="AA181" i="3" s="1"/>
  <c r="AA23" i="3"/>
  <c r="AA25" i="3"/>
  <c r="AA34" i="3"/>
  <c r="AA37" i="3"/>
  <c r="AA5" i="1"/>
  <c r="AB5" i="3"/>
  <c r="I80" i="3"/>
  <c r="S67" i="6" l="1"/>
  <c r="S66" i="6"/>
  <c r="AA57" i="6"/>
  <c r="AA50" i="6"/>
  <c r="AA53" i="6"/>
  <c r="AA55" i="6"/>
  <c r="AA35" i="6"/>
  <c r="AA37" i="6"/>
  <c r="Y71" i="1"/>
  <c r="AB7" i="6"/>
  <c r="Y60" i="6"/>
  <c r="W58" i="1" s="1"/>
  <c r="Y48" i="6"/>
  <c r="W49" i="1" s="1"/>
  <c r="Z8" i="1"/>
  <c r="AA8" i="6"/>
  <c r="Z147" i="3"/>
  <c r="AA79" i="3"/>
  <c r="AA74" i="3" s="1"/>
  <c r="AM87" i="6"/>
  <c r="Z11" i="1"/>
  <c r="AB10" i="6" s="1"/>
  <c r="Z220" i="3"/>
  <c r="F30" i="4"/>
  <c r="F42" i="1"/>
  <c r="AA78" i="3"/>
  <c r="H223" i="3"/>
  <c r="AB140" i="3"/>
  <c r="AB139" i="3"/>
  <c r="AB118" i="3"/>
  <c r="AB126" i="3"/>
  <c r="AB54" i="3"/>
  <c r="AB197" i="3" s="1"/>
  <c r="AB127" i="3"/>
  <c r="AB123" i="3"/>
  <c r="AB59" i="3"/>
  <c r="AB202" i="3" s="1"/>
  <c r="AB68" i="3"/>
  <c r="AB211" i="3" s="1"/>
  <c r="AB69" i="3"/>
  <c r="AB212" i="3" s="1"/>
  <c r="AB64" i="3"/>
  <c r="AB207" i="3" s="1"/>
  <c r="AB60" i="3"/>
  <c r="AB203" i="3" s="1"/>
  <c r="AB65" i="3"/>
  <c r="AB208" i="3" s="1"/>
  <c r="AB72" i="3"/>
  <c r="AB215" i="3" s="1"/>
  <c r="AB121" i="3"/>
  <c r="AB58" i="3"/>
  <c r="AB201" i="3" s="1"/>
  <c r="AB62" i="3"/>
  <c r="AB205" i="3" s="1"/>
  <c r="AB55" i="3"/>
  <c r="AB198" i="3" s="1"/>
  <c r="AB71" i="3"/>
  <c r="AB214" i="3" s="1"/>
  <c r="AB61" i="3"/>
  <c r="AB204" i="3" s="1"/>
  <c r="AB67" i="3"/>
  <c r="AB210" i="3" s="1"/>
  <c r="AB57" i="3"/>
  <c r="AB200" i="3" s="1"/>
  <c r="AB56" i="3"/>
  <c r="AB199" i="3" s="1"/>
  <c r="AB66" i="3"/>
  <c r="AB209" i="3" s="1"/>
  <c r="AB53" i="3"/>
  <c r="AB196" i="3" s="1"/>
  <c r="AB63" i="3"/>
  <c r="AB206" i="3" s="1"/>
  <c r="AB70" i="3"/>
  <c r="AB213" i="3" s="1"/>
  <c r="AB130" i="3"/>
  <c r="AB122" i="3"/>
  <c r="AB136" i="3"/>
  <c r="AB131" i="3"/>
  <c r="AB133" i="3"/>
  <c r="AB135" i="3"/>
  <c r="AB137" i="3"/>
  <c r="AB134" i="3"/>
  <c r="AB124" i="3"/>
  <c r="AB129" i="3"/>
  <c r="AB128" i="3"/>
  <c r="AB132" i="3"/>
  <c r="AB138" i="3"/>
  <c r="AB119" i="3"/>
  <c r="AB125" i="3"/>
  <c r="Y218" i="3"/>
  <c r="Y221" i="3" s="1"/>
  <c r="Y29" i="1" s="1"/>
  <c r="AB51" i="3"/>
  <c r="AB194" i="3" s="1"/>
  <c r="AB50" i="3"/>
  <c r="AB193" i="3" s="1"/>
  <c r="L10" i="4"/>
  <c r="Z146" i="3"/>
  <c r="AB237" i="3"/>
  <c r="AB92" i="3"/>
  <c r="AB106" i="3"/>
  <c r="AB96" i="3"/>
  <c r="AB100" i="3"/>
  <c r="AB101" i="3"/>
  <c r="AB88" i="3"/>
  <c r="AB97" i="3"/>
  <c r="AB87" i="3"/>
  <c r="AB91" i="3"/>
  <c r="AB108" i="3"/>
  <c r="AB89" i="3"/>
  <c r="AB102" i="3"/>
  <c r="AB90" i="3"/>
  <c r="AB93" i="3"/>
  <c r="AB104" i="3"/>
  <c r="AB94" i="3"/>
  <c r="AB98" i="3"/>
  <c r="AB107" i="3"/>
  <c r="AB95" i="3"/>
  <c r="AB99" i="3"/>
  <c r="AB105" i="3"/>
  <c r="AB109" i="3"/>
  <c r="AB110" i="3"/>
  <c r="AB111" i="3"/>
  <c r="AB112" i="3"/>
  <c r="AB113" i="3"/>
  <c r="AB114" i="3"/>
  <c r="AB115" i="3"/>
  <c r="AB116" i="3"/>
  <c r="AB117" i="3"/>
  <c r="F10" i="4"/>
  <c r="Z218" i="3"/>
  <c r="Z221" i="3" s="1"/>
  <c r="Z29" i="1" s="1"/>
  <c r="AA7" i="1"/>
  <c r="AC7" i="6" s="1"/>
  <c r="R36" i="1"/>
  <c r="S231" i="3"/>
  <c r="S233" i="3"/>
  <c r="S23" i="1" s="1"/>
  <c r="R24" i="1"/>
  <c r="T9" i="6" s="1"/>
  <c r="L7" i="4"/>
  <c r="L8" i="4" s="1"/>
  <c r="F32" i="1"/>
  <c r="F38" i="1" s="1"/>
  <c r="H149" i="3"/>
  <c r="I145" i="3" s="1"/>
  <c r="I146" i="3"/>
  <c r="H151" i="3"/>
  <c r="H154" i="3" s="1"/>
  <c r="H14" i="3" s="1"/>
  <c r="G20" i="1"/>
  <c r="I12" i="6" s="1"/>
  <c r="G157" i="3"/>
  <c r="G31" i="1" s="1"/>
  <c r="I82" i="3"/>
  <c r="I18" i="1" s="1"/>
  <c r="I152" i="3"/>
  <c r="I153" i="3" s="1"/>
  <c r="AB12" i="3"/>
  <c r="AA232" i="3"/>
  <c r="AA22" i="1" s="1"/>
  <c r="AA168" i="3"/>
  <c r="AA169" i="3"/>
  <c r="AA174" i="3"/>
  <c r="AA165" i="3"/>
  <c r="AA175" i="3"/>
  <c r="AA177" i="3"/>
  <c r="AA176" i="3"/>
  <c r="AA164" i="3"/>
  <c r="AA173" i="3"/>
  <c r="AA166" i="3"/>
  <c r="AA179" i="3"/>
  <c r="AA163" i="3"/>
  <c r="AA192" i="3"/>
  <c r="AA170" i="3"/>
  <c r="I222" i="3"/>
  <c r="I30" i="1" s="1"/>
  <c r="I42" i="1" s="1"/>
  <c r="AA180" i="3"/>
  <c r="AA167" i="3"/>
  <c r="AA171" i="3"/>
  <c r="AB40" i="3"/>
  <c r="AB183" i="3" s="1"/>
  <c r="AB49" i="3"/>
  <c r="AB45" i="3"/>
  <c r="AB188" i="3" s="1"/>
  <c r="AB41" i="3"/>
  <c r="AB184" i="3" s="1"/>
  <c r="AB42" i="3"/>
  <c r="AB185" i="3" s="1"/>
  <c r="AB48" i="3"/>
  <c r="AB191" i="3" s="1"/>
  <c r="AB47" i="3"/>
  <c r="AB190" i="3" s="1"/>
  <c r="AB46" i="3"/>
  <c r="AB189" i="3" s="1"/>
  <c r="AB43" i="3"/>
  <c r="AB186" i="3" s="1"/>
  <c r="AB44" i="3"/>
  <c r="AB187" i="3" s="1"/>
  <c r="AB29" i="3"/>
  <c r="AB31" i="3"/>
  <c r="AB30" i="3"/>
  <c r="AB27" i="3"/>
  <c r="AB22" i="3"/>
  <c r="AB25" i="3"/>
  <c r="AB26" i="3"/>
  <c r="AB38" i="3"/>
  <c r="AB181" i="3" s="1"/>
  <c r="AB36" i="3"/>
  <c r="AB37" i="3"/>
  <c r="AB33" i="3"/>
  <c r="AB21" i="3"/>
  <c r="AB39" i="3"/>
  <c r="AB182" i="3" s="1"/>
  <c r="AB23" i="3"/>
  <c r="AB32" i="3"/>
  <c r="AB28" i="3"/>
  <c r="AB20" i="3"/>
  <c r="AB19" i="3"/>
  <c r="AB162" i="3" s="1"/>
  <c r="AB24" i="3"/>
  <c r="AB34" i="3"/>
  <c r="AC5" i="3"/>
  <c r="J80" i="3"/>
  <c r="J146" i="3"/>
  <c r="AB5" i="1"/>
  <c r="T66" i="6" l="1"/>
  <c r="T67" i="6"/>
  <c r="AB37" i="6"/>
  <c r="AB35" i="6"/>
  <c r="AC55" i="6"/>
  <c r="AC50" i="6"/>
  <c r="AC53" i="6"/>
  <c r="AC57" i="6"/>
  <c r="AB55" i="6"/>
  <c r="AB50" i="6"/>
  <c r="AB53" i="6"/>
  <c r="AB57" i="6"/>
  <c r="AA8" i="1"/>
  <c r="AB8" i="6"/>
  <c r="Z60" i="6"/>
  <c r="X58" i="1" s="1"/>
  <c r="Z48" i="6"/>
  <c r="X49" i="1" s="1"/>
  <c r="AA147" i="3"/>
  <c r="AB79" i="3"/>
  <c r="AB74" i="3" s="1"/>
  <c r="AN87" i="6"/>
  <c r="AA11" i="1"/>
  <c r="AC10" i="6" s="1"/>
  <c r="AA220" i="3"/>
  <c r="F41" i="4"/>
  <c r="F43" i="1"/>
  <c r="I43" i="1"/>
  <c r="AB78" i="3"/>
  <c r="L29" i="4"/>
  <c r="AC140" i="3"/>
  <c r="AC139" i="3"/>
  <c r="AC118" i="3"/>
  <c r="AC126" i="3"/>
  <c r="AC62" i="3"/>
  <c r="AC205" i="3" s="1"/>
  <c r="AC67" i="3"/>
  <c r="AC210" i="3" s="1"/>
  <c r="AC123" i="3"/>
  <c r="AC119" i="3"/>
  <c r="AC61" i="3"/>
  <c r="AC204" i="3" s="1"/>
  <c r="AC71" i="3"/>
  <c r="AC214" i="3" s="1"/>
  <c r="AC68" i="3"/>
  <c r="AC211" i="3" s="1"/>
  <c r="AC65" i="3"/>
  <c r="AC208" i="3" s="1"/>
  <c r="AC121" i="3"/>
  <c r="AC60" i="3"/>
  <c r="AC203" i="3" s="1"/>
  <c r="AC72" i="3"/>
  <c r="AC215" i="3" s="1"/>
  <c r="AC69" i="3"/>
  <c r="AC212" i="3" s="1"/>
  <c r="AC57" i="3"/>
  <c r="AC200" i="3" s="1"/>
  <c r="AC63" i="3"/>
  <c r="AC206" i="3" s="1"/>
  <c r="AC55" i="3"/>
  <c r="AC198" i="3" s="1"/>
  <c r="AC64" i="3"/>
  <c r="AC207" i="3" s="1"/>
  <c r="AC66" i="3"/>
  <c r="AC209" i="3" s="1"/>
  <c r="AC56" i="3"/>
  <c r="AC199" i="3" s="1"/>
  <c r="AC70" i="3"/>
  <c r="AC213" i="3" s="1"/>
  <c r="AC54" i="3"/>
  <c r="AC197" i="3" s="1"/>
  <c r="AC58" i="3"/>
  <c r="AC201" i="3" s="1"/>
  <c r="AC53" i="3"/>
  <c r="AC196" i="3" s="1"/>
  <c r="AC59" i="3"/>
  <c r="AC202" i="3" s="1"/>
  <c r="AC122" i="3"/>
  <c r="AC125" i="3"/>
  <c r="AC133" i="3"/>
  <c r="AC128" i="3"/>
  <c r="AC134" i="3"/>
  <c r="AC131" i="3"/>
  <c r="AC136" i="3"/>
  <c r="AC130" i="3"/>
  <c r="AC124" i="3"/>
  <c r="AC127" i="3"/>
  <c r="AC129" i="3"/>
  <c r="AC138" i="3"/>
  <c r="AC135" i="3"/>
  <c r="AC132" i="3"/>
  <c r="AC137" i="3"/>
  <c r="AC50" i="3"/>
  <c r="AC193" i="3" s="1"/>
  <c r="AC51" i="3"/>
  <c r="AC194" i="3" s="1"/>
  <c r="AC237" i="3"/>
  <c r="AC92" i="3"/>
  <c r="AC97" i="3"/>
  <c r="AC93" i="3"/>
  <c r="AC106" i="3"/>
  <c r="AC96" i="3"/>
  <c r="AC101" i="3"/>
  <c r="AC88" i="3"/>
  <c r="AC100" i="3"/>
  <c r="AC104" i="3"/>
  <c r="AC108" i="3"/>
  <c r="AC90" i="3"/>
  <c r="AC87" i="3"/>
  <c r="AC98" i="3"/>
  <c r="AC91" i="3"/>
  <c r="AC89" i="3"/>
  <c r="AC94" i="3"/>
  <c r="AC107" i="3"/>
  <c r="AC102" i="3"/>
  <c r="AC99" i="3"/>
  <c r="AC95" i="3"/>
  <c r="AC105" i="3"/>
  <c r="AC110" i="3"/>
  <c r="AC109" i="3"/>
  <c r="AC111" i="3"/>
  <c r="AC112" i="3"/>
  <c r="AC113" i="3"/>
  <c r="AC114" i="3"/>
  <c r="AC115" i="3"/>
  <c r="AC116" i="3"/>
  <c r="AC117" i="3"/>
  <c r="AA146" i="3"/>
  <c r="H157" i="3"/>
  <c r="H31" i="1" s="1"/>
  <c r="F31" i="4" s="1"/>
  <c r="F32" i="4" s="1"/>
  <c r="F38" i="4" s="1"/>
  <c r="H13" i="1"/>
  <c r="J11" i="6" s="1"/>
  <c r="S234" i="3"/>
  <c r="S239" i="3" s="1"/>
  <c r="S35" i="1" s="1"/>
  <c r="Z71" i="1"/>
  <c r="L60" i="4" s="1"/>
  <c r="AB7" i="1"/>
  <c r="H12" i="1"/>
  <c r="F11" i="4" s="1"/>
  <c r="I223" i="3"/>
  <c r="AA218" i="3"/>
  <c r="AA221" i="3" s="1"/>
  <c r="AA29" i="1" s="1"/>
  <c r="H60" i="6"/>
  <c r="J82" i="3"/>
  <c r="J18" i="1" s="1"/>
  <c r="J152" i="3"/>
  <c r="J153" i="3" s="1"/>
  <c r="I151" i="3"/>
  <c r="I154" i="3" s="1"/>
  <c r="I14" i="3" s="1"/>
  <c r="H20" i="1"/>
  <c r="I149" i="3"/>
  <c r="J222" i="3"/>
  <c r="J30" i="1" s="1"/>
  <c r="J42" i="1" s="1"/>
  <c r="J43" i="1" s="1"/>
  <c r="AC12" i="3"/>
  <c r="AB232" i="3"/>
  <c r="AB22" i="1" s="1"/>
  <c r="AB163" i="3"/>
  <c r="AB179" i="3"/>
  <c r="AB165" i="3"/>
  <c r="AB172" i="3"/>
  <c r="AB177" i="3"/>
  <c r="AB171" i="3"/>
  <c r="AB164" i="3"/>
  <c r="AB170" i="3"/>
  <c r="AB192" i="3"/>
  <c r="AB167" i="3"/>
  <c r="AB175" i="3"/>
  <c r="AB176" i="3"/>
  <c r="AB169" i="3"/>
  <c r="AB173" i="3"/>
  <c r="AB166" i="3"/>
  <c r="AB180" i="3"/>
  <c r="AB168" i="3"/>
  <c r="AB174" i="3"/>
  <c r="AC40" i="3"/>
  <c r="AC183" i="3" s="1"/>
  <c r="AC45" i="3"/>
  <c r="AC188" i="3" s="1"/>
  <c r="AC41" i="3"/>
  <c r="AC184" i="3" s="1"/>
  <c r="AC43" i="3"/>
  <c r="AC186" i="3" s="1"/>
  <c r="AC44" i="3"/>
  <c r="AC187" i="3" s="1"/>
  <c r="AC48" i="3"/>
  <c r="AC191" i="3" s="1"/>
  <c r="AC42" i="3"/>
  <c r="AC185" i="3" s="1"/>
  <c r="AC46" i="3"/>
  <c r="AC189" i="3" s="1"/>
  <c r="AC47" i="3"/>
  <c r="AC190" i="3" s="1"/>
  <c r="AC49" i="3"/>
  <c r="AC21" i="3"/>
  <c r="AC31" i="3"/>
  <c r="AC30" i="3"/>
  <c r="AC27" i="3"/>
  <c r="AC34" i="3"/>
  <c r="AC38" i="3"/>
  <c r="AC181" i="3" s="1"/>
  <c r="AC33" i="3"/>
  <c r="AC32" i="3"/>
  <c r="AC26" i="3"/>
  <c r="AC169" i="3" s="1"/>
  <c r="AC39" i="3"/>
  <c r="AC182" i="3" s="1"/>
  <c r="AC25" i="3"/>
  <c r="AC36" i="3"/>
  <c r="AC29" i="3"/>
  <c r="AC28" i="3"/>
  <c r="AC24" i="3"/>
  <c r="AC20" i="3"/>
  <c r="AC23" i="3"/>
  <c r="AC22" i="3"/>
  <c r="AC19" i="3"/>
  <c r="AC162" i="3" s="1"/>
  <c r="AC37" i="3"/>
  <c r="K80" i="3"/>
  <c r="AC5" i="1"/>
  <c r="F17" i="4"/>
  <c r="AD5" i="3"/>
  <c r="T64" i="6" l="1"/>
  <c r="R50" i="1" s="1"/>
  <c r="T79" i="6"/>
  <c r="R59" i="1" s="1"/>
  <c r="AC37" i="6"/>
  <c r="AC35" i="6"/>
  <c r="F19" i="4"/>
  <c r="J12" i="6"/>
  <c r="AA71" i="1"/>
  <c r="AD7" i="6"/>
  <c r="H79" i="6"/>
  <c r="N79" i="6"/>
  <c r="L59" i="1" s="1"/>
  <c r="AB147" i="3"/>
  <c r="AB8" i="1"/>
  <c r="AC8" i="6"/>
  <c r="AA60" i="6"/>
  <c r="Y58" i="1" s="1"/>
  <c r="AA48" i="6"/>
  <c r="Y49" i="1" s="1"/>
  <c r="N60" i="6"/>
  <c r="AC79" i="3"/>
  <c r="AC74" i="3" s="1"/>
  <c r="AC218" i="3" s="1"/>
  <c r="AO87" i="6"/>
  <c r="F42" i="4"/>
  <c r="AB11" i="1"/>
  <c r="AD10" i="6" s="1"/>
  <c r="AB220" i="3"/>
  <c r="AB146" i="3"/>
  <c r="AC78" i="3"/>
  <c r="AD54" i="3"/>
  <c r="AD197" i="3" s="1"/>
  <c r="AD140" i="3"/>
  <c r="AD133" i="3"/>
  <c r="AD118" i="3"/>
  <c r="AD131" i="3"/>
  <c r="AD123" i="3"/>
  <c r="AD139" i="3"/>
  <c r="AD135" i="3"/>
  <c r="AD124" i="3"/>
  <c r="AD60" i="3"/>
  <c r="AD203" i="3" s="1"/>
  <c r="AD67" i="3"/>
  <c r="AD210" i="3" s="1"/>
  <c r="AD61" i="3"/>
  <c r="AD204" i="3" s="1"/>
  <c r="AD55" i="3"/>
  <c r="AD198" i="3" s="1"/>
  <c r="AD59" i="3"/>
  <c r="AD202" i="3" s="1"/>
  <c r="AD68" i="3"/>
  <c r="AD211" i="3" s="1"/>
  <c r="AD56" i="3"/>
  <c r="AD199" i="3" s="1"/>
  <c r="AD72" i="3"/>
  <c r="AD215" i="3" s="1"/>
  <c r="AD70" i="3"/>
  <c r="AD213" i="3" s="1"/>
  <c r="AD63" i="3"/>
  <c r="AD206" i="3" s="1"/>
  <c r="AD57" i="3"/>
  <c r="AD200" i="3" s="1"/>
  <c r="AD64" i="3"/>
  <c r="AD207" i="3" s="1"/>
  <c r="AD69" i="3"/>
  <c r="AD212" i="3" s="1"/>
  <c r="AD58" i="3"/>
  <c r="AD201" i="3" s="1"/>
  <c r="AD71" i="3"/>
  <c r="AD214" i="3" s="1"/>
  <c r="AD65" i="3"/>
  <c r="AD208" i="3" s="1"/>
  <c r="AD66" i="3"/>
  <c r="AD209" i="3" s="1"/>
  <c r="AD62" i="3"/>
  <c r="AD205" i="3" s="1"/>
  <c r="AD53" i="3"/>
  <c r="AD196" i="3" s="1"/>
  <c r="AD134" i="3"/>
  <c r="AD127" i="3"/>
  <c r="AD136" i="3"/>
  <c r="AD137" i="3"/>
  <c r="AD121" i="3"/>
  <c r="AD129" i="3"/>
  <c r="AD130" i="3"/>
  <c r="AD128" i="3"/>
  <c r="AD119" i="3"/>
  <c r="AD125" i="3"/>
  <c r="AD126" i="3"/>
  <c r="AD122" i="3"/>
  <c r="AD138" i="3"/>
  <c r="AD132" i="3"/>
  <c r="AD50" i="3"/>
  <c r="AD193" i="3" s="1"/>
  <c r="AD51" i="3"/>
  <c r="AD194" i="3" s="1"/>
  <c r="F12" i="4"/>
  <c r="F13" i="4" s="1"/>
  <c r="H14" i="1"/>
  <c r="G72" i="1" s="1"/>
  <c r="AD237" i="3"/>
  <c r="AD101" i="3"/>
  <c r="AD92" i="3"/>
  <c r="AD106" i="3"/>
  <c r="AD96" i="3"/>
  <c r="AD93" i="3"/>
  <c r="AD88" i="3"/>
  <c r="AD97" i="3"/>
  <c r="AD87" i="3"/>
  <c r="AD91" i="3"/>
  <c r="AD108" i="3"/>
  <c r="AD104" i="3"/>
  <c r="AD94" i="3"/>
  <c r="AD89" i="3"/>
  <c r="AD98" i="3"/>
  <c r="AD107" i="3"/>
  <c r="AD100" i="3"/>
  <c r="AD102" i="3"/>
  <c r="AD90" i="3"/>
  <c r="AD95" i="3"/>
  <c r="AD105" i="3"/>
  <c r="AD99" i="3"/>
  <c r="AD109" i="3"/>
  <c r="AD110" i="3"/>
  <c r="AD111" i="3"/>
  <c r="AD112" i="3"/>
  <c r="AD113" i="3"/>
  <c r="AD114" i="3"/>
  <c r="AD115" i="3"/>
  <c r="AD116" i="3"/>
  <c r="AD117" i="3"/>
  <c r="I157" i="3"/>
  <c r="I31" i="1" s="1"/>
  <c r="I13" i="1"/>
  <c r="S36" i="1"/>
  <c r="AC7" i="1"/>
  <c r="T233" i="3"/>
  <c r="T23" i="1" s="1"/>
  <c r="J23" i="4" s="1"/>
  <c r="T231" i="3"/>
  <c r="S24" i="1"/>
  <c r="U9" i="6" s="1"/>
  <c r="G32" i="1"/>
  <c r="G38" i="1" s="1"/>
  <c r="J223" i="3"/>
  <c r="K82" i="3"/>
  <c r="K18" i="1" s="1"/>
  <c r="K152" i="3"/>
  <c r="K153" i="3" s="1"/>
  <c r="J151" i="3"/>
  <c r="J154" i="3" s="1"/>
  <c r="J14" i="3" s="1"/>
  <c r="I20" i="1"/>
  <c r="K12" i="6" s="1"/>
  <c r="K146" i="3"/>
  <c r="J145" i="3"/>
  <c r="J149" i="3" s="1"/>
  <c r="I12" i="1"/>
  <c r="AD12" i="3"/>
  <c r="AC232" i="3"/>
  <c r="AC22" i="1" s="1"/>
  <c r="M22" i="4" s="1"/>
  <c r="AC166" i="3"/>
  <c r="AC172" i="3"/>
  <c r="AC177" i="3"/>
  <c r="AC180" i="3"/>
  <c r="AC163" i="3"/>
  <c r="AC179" i="3"/>
  <c r="AC175" i="3"/>
  <c r="AC170" i="3"/>
  <c r="AC192" i="3"/>
  <c r="AC164" i="3"/>
  <c r="AC167" i="3"/>
  <c r="AC168" i="3"/>
  <c r="AC176" i="3"/>
  <c r="AC173" i="3"/>
  <c r="K222" i="3"/>
  <c r="K30" i="1" s="1"/>
  <c r="AC165" i="3"/>
  <c r="AC171" i="3"/>
  <c r="AC174" i="3"/>
  <c r="AD45" i="3"/>
  <c r="AD188" i="3" s="1"/>
  <c r="AD41" i="3"/>
  <c r="AD184" i="3" s="1"/>
  <c r="AD44" i="3"/>
  <c r="AD187" i="3" s="1"/>
  <c r="AD46" i="3"/>
  <c r="AD189" i="3" s="1"/>
  <c r="AD48" i="3"/>
  <c r="AD191" i="3" s="1"/>
  <c r="AD40" i="3"/>
  <c r="AD183" i="3" s="1"/>
  <c r="AD47" i="3"/>
  <c r="AD190" i="3" s="1"/>
  <c r="AD42" i="3"/>
  <c r="AD185" i="3" s="1"/>
  <c r="AD49" i="3"/>
  <c r="AD43" i="3"/>
  <c r="AD186" i="3" s="1"/>
  <c r="AD23" i="3"/>
  <c r="AD34" i="3"/>
  <c r="AD29" i="3"/>
  <c r="AD32" i="3"/>
  <c r="AD22" i="3"/>
  <c r="AD24" i="3"/>
  <c r="AD28" i="3"/>
  <c r="AD37" i="3"/>
  <c r="AD26" i="3"/>
  <c r="AD33" i="3"/>
  <c r="AD25" i="3"/>
  <c r="AD38" i="3"/>
  <c r="AD181" i="3" s="1"/>
  <c r="AD31" i="3"/>
  <c r="AD39" i="3"/>
  <c r="AD182" i="3" s="1"/>
  <c r="AD19" i="3"/>
  <c r="AD162" i="3" s="1"/>
  <c r="AD20" i="3"/>
  <c r="AD27" i="3"/>
  <c r="AD30" i="3"/>
  <c r="AD21" i="3"/>
  <c r="AD36" i="3"/>
  <c r="AE5" i="3"/>
  <c r="AD5" i="1"/>
  <c r="L146" i="3"/>
  <c r="L80" i="3"/>
  <c r="U67" i="6" l="1"/>
  <c r="U66" i="6"/>
  <c r="I14" i="1"/>
  <c r="H72" i="1" s="1"/>
  <c r="F61" i="4" s="1"/>
  <c r="K11" i="6"/>
  <c r="AD50" i="6"/>
  <c r="AD57" i="6"/>
  <c r="AD53" i="6"/>
  <c r="AD55" i="6"/>
  <c r="AB71" i="1"/>
  <c r="AE7" i="6"/>
  <c r="AD37" i="6"/>
  <c r="AD35" i="6"/>
  <c r="AB60" i="6"/>
  <c r="Z58" i="1" s="1"/>
  <c r="AB48" i="6"/>
  <c r="Z49" i="1" s="1"/>
  <c r="AC8" i="1"/>
  <c r="AD8" i="6"/>
  <c r="AC147" i="3"/>
  <c r="AD79" i="3"/>
  <c r="AD74" i="3" s="1"/>
  <c r="AP87" i="6"/>
  <c r="AC11" i="1"/>
  <c r="AC220" i="3"/>
  <c r="G30" i="4"/>
  <c r="K42" i="1"/>
  <c r="AD147" i="3"/>
  <c r="AD78" i="3"/>
  <c r="AE140" i="3"/>
  <c r="AE139" i="3"/>
  <c r="AE123" i="3"/>
  <c r="AE124" i="3"/>
  <c r="AE127" i="3"/>
  <c r="AE129" i="3"/>
  <c r="AE118" i="3"/>
  <c r="AE54" i="3"/>
  <c r="AE197" i="3" s="1"/>
  <c r="AE126" i="3"/>
  <c r="AE65" i="3"/>
  <c r="AE208" i="3" s="1"/>
  <c r="AE62" i="3"/>
  <c r="AE205" i="3" s="1"/>
  <c r="AE60" i="3"/>
  <c r="AE203" i="3" s="1"/>
  <c r="AE72" i="3"/>
  <c r="AE215" i="3" s="1"/>
  <c r="AE67" i="3"/>
  <c r="AE210" i="3" s="1"/>
  <c r="AE69" i="3"/>
  <c r="AE212" i="3" s="1"/>
  <c r="AE55" i="3"/>
  <c r="AE198" i="3" s="1"/>
  <c r="AE59" i="3"/>
  <c r="AE202" i="3" s="1"/>
  <c r="AE68" i="3"/>
  <c r="AE211" i="3" s="1"/>
  <c r="AE64" i="3"/>
  <c r="AE207" i="3" s="1"/>
  <c r="AE57" i="3"/>
  <c r="AE200" i="3" s="1"/>
  <c r="AE63" i="3"/>
  <c r="AE206" i="3" s="1"/>
  <c r="AE58" i="3"/>
  <c r="AE201" i="3" s="1"/>
  <c r="AE71" i="3"/>
  <c r="AE214" i="3" s="1"/>
  <c r="AE66" i="3"/>
  <c r="AE209" i="3" s="1"/>
  <c r="AE70" i="3"/>
  <c r="AE213" i="3" s="1"/>
  <c r="AE61" i="3"/>
  <c r="AE204" i="3" s="1"/>
  <c r="AE56" i="3"/>
  <c r="AE199" i="3" s="1"/>
  <c r="AE53" i="3"/>
  <c r="AE196" i="3" s="1"/>
  <c r="AE137" i="3"/>
  <c r="AE121" i="3"/>
  <c r="AE122" i="3"/>
  <c r="AE130" i="3"/>
  <c r="AE134" i="3"/>
  <c r="AE135" i="3"/>
  <c r="AE128" i="3"/>
  <c r="AE131" i="3"/>
  <c r="AE136" i="3"/>
  <c r="AE138" i="3"/>
  <c r="AE119" i="3"/>
  <c r="AE133" i="3"/>
  <c r="AE125" i="3"/>
  <c r="AE132" i="3"/>
  <c r="AE50" i="3"/>
  <c r="AE193" i="3" s="1"/>
  <c r="AE51" i="3"/>
  <c r="AE194" i="3" s="1"/>
  <c r="AC146" i="3"/>
  <c r="AE237" i="3"/>
  <c r="AE106" i="3"/>
  <c r="AE101" i="3"/>
  <c r="AE93" i="3"/>
  <c r="AE96" i="3"/>
  <c r="AE88" i="3"/>
  <c r="AE97" i="3"/>
  <c r="AE100" i="3"/>
  <c r="AE92" i="3"/>
  <c r="AE91" i="3"/>
  <c r="AE104" i="3"/>
  <c r="AE87" i="3"/>
  <c r="AE108" i="3"/>
  <c r="AE94" i="3"/>
  <c r="AE90" i="3"/>
  <c r="AE102" i="3"/>
  <c r="AE98" i="3"/>
  <c r="AE89" i="3"/>
  <c r="AE107" i="3"/>
  <c r="AE105" i="3"/>
  <c r="AE99" i="3"/>
  <c r="AE95" i="3"/>
  <c r="AE109" i="3"/>
  <c r="AE110" i="3"/>
  <c r="AE111" i="3"/>
  <c r="AE112" i="3"/>
  <c r="AE113" i="3"/>
  <c r="AE114" i="3"/>
  <c r="AE115" i="3"/>
  <c r="AE116" i="3"/>
  <c r="AE117" i="3"/>
  <c r="J157" i="3"/>
  <c r="J31" i="1" s="1"/>
  <c r="J13" i="1"/>
  <c r="G10" i="4"/>
  <c r="AB218" i="3"/>
  <c r="AB221" i="3" s="1"/>
  <c r="AB29" i="1" s="1"/>
  <c r="AD7" i="1"/>
  <c r="AF7" i="6" s="1"/>
  <c r="M7" i="4"/>
  <c r="M8" i="4" s="1"/>
  <c r="T234" i="3"/>
  <c r="T239" i="3" s="1"/>
  <c r="T35" i="1" s="1"/>
  <c r="L82" i="3"/>
  <c r="L18" i="1" s="1"/>
  <c r="L152" i="3"/>
  <c r="L153" i="3" s="1"/>
  <c r="K145" i="3"/>
  <c r="K149" i="3" s="1"/>
  <c r="J12" i="1"/>
  <c r="K151" i="3"/>
  <c r="K154" i="3" s="1"/>
  <c r="K14" i="3" s="1"/>
  <c r="J20" i="1"/>
  <c r="L12" i="6" s="1"/>
  <c r="L222" i="3"/>
  <c r="L30" i="1" s="1"/>
  <c r="L42" i="1" s="1"/>
  <c r="AE12" i="3"/>
  <c r="AD232" i="3"/>
  <c r="AD22" i="1" s="1"/>
  <c r="AC221" i="3"/>
  <c r="AC29" i="1" s="1"/>
  <c r="AD179" i="3"/>
  <c r="AD180" i="3"/>
  <c r="AD164" i="3"/>
  <c r="AD168" i="3"/>
  <c r="AD171" i="3"/>
  <c r="AD172" i="3"/>
  <c r="AD192" i="3"/>
  <c r="AD175" i="3"/>
  <c r="AD173" i="3"/>
  <c r="AD176" i="3"/>
  <c r="AD167" i="3"/>
  <c r="AD177" i="3"/>
  <c r="AD163" i="3"/>
  <c r="AD170" i="3"/>
  <c r="AD174" i="3"/>
  <c r="AD169" i="3"/>
  <c r="AD165" i="3"/>
  <c r="AD166" i="3"/>
  <c r="AE42" i="3"/>
  <c r="AE185" i="3" s="1"/>
  <c r="AE41" i="3"/>
  <c r="AE184" i="3" s="1"/>
  <c r="AE48" i="3"/>
  <c r="AE191" i="3" s="1"/>
  <c r="AE43" i="3"/>
  <c r="AE186" i="3" s="1"/>
  <c r="AE45" i="3"/>
  <c r="AE188" i="3" s="1"/>
  <c r="AE44" i="3"/>
  <c r="AE187" i="3" s="1"/>
  <c r="AE46" i="3"/>
  <c r="AE189" i="3" s="1"/>
  <c r="AE40" i="3"/>
  <c r="AE183" i="3" s="1"/>
  <c r="AE47" i="3"/>
  <c r="AE190" i="3" s="1"/>
  <c r="AE49" i="3"/>
  <c r="AE32" i="3"/>
  <c r="AE37" i="3"/>
  <c r="AE21" i="3"/>
  <c r="AE28" i="3"/>
  <c r="AE23" i="3"/>
  <c r="AE30" i="3"/>
  <c r="AE27" i="3"/>
  <c r="AE39" i="3"/>
  <c r="AE182" i="3" s="1"/>
  <c r="AE33" i="3"/>
  <c r="AE25" i="3"/>
  <c r="AE38" i="3"/>
  <c r="AE181" i="3" s="1"/>
  <c r="AE29" i="3"/>
  <c r="AE172" i="3" s="1"/>
  <c r="AE19" i="3"/>
  <c r="AE162" i="3" s="1"/>
  <c r="AE22" i="3"/>
  <c r="AE34" i="3"/>
  <c r="AE36" i="3"/>
  <c r="AE26" i="3"/>
  <c r="AE20" i="3"/>
  <c r="AE24" i="3"/>
  <c r="AE31" i="3"/>
  <c r="M80" i="3"/>
  <c r="M146" i="3"/>
  <c r="H32" i="1"/>
  <c r="H38" i="1" s="1"/>
  <c r="AE5" i="1"/>
  <c r="AF5" i="3"/>
  <c r="J14" i="1" l="1"/>
  <c r="I72" i="1" s="1"/>
  <c r="L11" i="6"/>
  <c r="M10" i="4"/>
  <c r="G11" i="2" s="1"/>
  <c r="AE10" i="6"/>
  <c r="U64" i="6"/>
  <c r="S50" i="1" s="1"/>
  <c r="U79" i="6"/>
  <c r="S59" i="1" s="1"/>
  <c r="AF50" i="6"/>
  <c r="AF53" i="6"/>
  <c r="AF55" i="6"/>
  <c r="AF57" i="6"/>
  <c r="AE57" i="6"/>
  <c r="AE50" i="6"/>
  <c r="AE53" i="6"/>
  <c r="AE55" i="6"/>
  <c r="AD8" i="1"/>
  <c r="AE8" i="6"/>
  <c r="AC48" i="6"/>
  <c r="AA49" i="1" s="1"/>
  <c r="AC60" i="6"/>
  <c r="AA58" i="1" s="1"/>
  <c r="AE79" i="3"/>
  <c r="AE74" i="3" s="1"/>
  <c r="AQ87" i="6"/>
  <c r="K43" i="1"/>
  <c r="G41" i="4"/>
  <c r="AD11" i="1"/>
  <c r="AF10" i="6" s="1"/>
  <c r="AD220" i="3"/>
  <c r="L43" i="1"/>
  <c r="AE78" i="3"/>
  <c r="AF139" i="3"/>
  <c r="AF140" i="3"/>
  <c r="AF55" i="3"/>
  <c r="AF198" i="3" s="1"/>
  <c r="AF71" i="3"/>
  <c r="AF214" i="3" s="1"/>
  <c r="AF59" i="3"/>
  <c r="AF202" i="3" s="1"/>
  <c r="AF126" i="3"/>
  <c r="AF118" i="3"/>
  <c r="AF129" i="3"/>
  <c r="AF123" i="3"/>
  <c r="AF63" i="3"/>
  <c r="AF206" i="3" s="1"/>
  <c r="AF69" i="3"/>
  <c r="AF212" i="3" s="1"/>
  <c r="AF70" i="3"/>
  <c r="AF213" i="3" s="1"/>
  <c r="AF72" i="3"/>
  <c r="AF215" i="3" s="1"/>
  <c r="AF61" i="3"/>
  <c r="AF204" i="3" s="1"/>
  <c r="AF62" i="3"/>
  <c r="AF205" i="3" s="1"/>
  <c r="AF57" i="3"/>
  <c r="AF200" i="3" s="1"/>
  <c r="AF66" i="3"/>
  <c r="AF209" i="3" s="1"/>
  <c r="AF67" i="3"/>
  <c r="AF210" i="3" s="1"/>
  <c r="AF58" i="3"/>
  <c r="AF201" i="3" s="1"/>
  <c r="AF54" i="3"/>
  <c r="AF197" i="3" s="1"/>
  <c r="AF56" i="3"/>
  <c r="AF199" i="3" s="1"/>
  <c r="AF64" i="3"/>
  <c r="AF207" i="3" s="1"/>
  <c r="AF65" i="3"/>
  <c r="AF208" i="3" s="1"/>
  <c r="AF60" i="3"/>
  <c r="AF203" i="3" s="1"/>
  <c r="AF53" i="3"/>
  <c r="AF196" i="3" s="1"/>
  <c r="AF68" i="3"/>
  <c r="AF211" i="3" s="1"/>
  <c r="AF131" i="3"/>
  <c r="AF125" i="3"/>
  <c r="AF130" i="3"/>
  <c r="AF128" i="3"/>
  <c r="AF134" i="3"/>
  <c r="AF121" i="3"/>
  <c r="AF122" i="3"/>
  <c r="AF136" i="3"/>
  <c r="AF133" i="3"/>
  <c r="AF135" i="3"/>
  <c r="AF132" i="3"/>
  <c r="AF119" i="3"/>
  <c r="AF124" i="3"/>
  <c r="AF138" i="3"/>
  <c r="AF137" i="3"/>
  <c r="AF127" i="3"/>
  <c r="AD146" i="3"/>
  <c r="AF50" i="3"/>
  <c r="AF193" i="3" s="1"/>
  <c r="AF51" i="3"/>
  <c r="AF194" i="3" s="1"/>
  <c r="AF237" i="3"/>
  <c r="AF101" i="3"/>
  <c r="AF88" i="3"/>
  <c r="AF92" i="3"/>
  <c r="AF106" i="3"/>
  <c r="AF96" i="3"/>
  <c r="AF93" i="3"/>
  <c r="AF97" i="3"/>
  <c r="AF91" i="3"/>
  <c r="AF87" i="3"/>
  <c r="AF100" i="3"/>
  <c r="AF89" i="3"/>
  <c r="AF107" i="3"/>
  <c r="AF108" i="3"/>
  <c r="AF102" i="3"/>
  <c r="AF90" i="3"/>
  <c r="AF104" i="3"/>
  <c r="AF94" i="3"/>
  <c r="AF98" i="3"/>
  <c r="AF99" i="3"/>
  <c r="AF95" i="3"/>
  <c r="AF105" i="3"/>
  <c r="AF109" i="3"/>
  <c r="AF110" i="3"/>
  <c r="AF111" i="3"/>
  <c r="AF112" i="3"/>
  <c r="AF113" i="3"/>
  <c r="AF114" i="3"/>
  <c r="AF115" i="3"/>
  <c r="AF116" i="3"/>
  <c r="AF117" i="3"/>
  <c r="K157" i="3"/>
  <c r="K31" i="1" s="1"/>
  <c r="G31" i="4" s="1"/>
  <c r="G32" i="4" s="1"/>
  <c r="G38" i="4" s="1"/>
  <c r="K13" i="1"/>
  <c r="M11" i="6" s="1"/>
  <c r="M29" i="4"/>
  <c r="G30" i="2" s="1"/>
  <c r="T36" i="1"/>
  <c r="J34" i="4"/>
  <c r="J35" i="4" s="1"/>
  <c r="AC71" i="1"/>
  <c r="M60" i="4" s="1"/>
  <c r="AE7" i="1"/>
  <c r="T24" i="1"/>
  <c r="U233" i="3"/>
  <c r="U23" i="1" s="1"/>
  <c r="U231" i="3"/>
  <c r="AD218" i="3"/>
  <c r="AD221" i="3" s="1"/>
  <c r="AD29" i="1" s="1"/>
  <c r="L223" i="3"/>
  <c r="L151" i="3"/>
  <c r="L154" i="3" s="1"/>
  <c r="L14" i="3" s="1"/>
  <c r="K20" i="1"/>
  <c r="M82" i="3"/>
  <c r="M18" i="1" s="1"/>
  <c r="M152" i="3"/>
  <c r="M153" i="3" s="1"/>
  <c r="L145" i="3"/>
  <c r="L149" i="3" s="1"/>
  <c r="K12" i="1"/>
  <c r="G11" i="4" s="1"/>
  <c r="M222" i="3"/>
  <c r="M30" i="1" s="1"/>
  <c r="M42" i="1" s="1"/>
  <c r="M43" i="1" s="1"/>
  <c r="AF12" i="3"/>
  <c r="AE232" i="3"/>
  <c r="AE22" i="1" s="1"/>
  <c r="AE166" i="3"/>
  <c r="AE175" i="3"/>
  <c r="AE171" i="3"/>
  <c r="AE192" i="3"/>
  <c r="AE169" i="3"/>
  <c r="AE176" i="3"/>
  <c r="AE179" i="3"/>
  <c r="AE167" i="3"/>
  <c r="AE177" i="3"/>
  <c r="AE170" i="3"/>
  <c r="AE164" i="3"/>
  <c r="AE174" i="3"/>
  <c r="AE163" i="3"/>
  <c r="AE165" i="3"/>
  <c r="AE168" i="3"/>
  <c r="AE173" i="3"/>
  <c r="AE180" i="3"/>
  <c r="AF44" i="3"/>
  <c r="AF187" i="3" s="1"/>
  <c r="AF46" i="3"/>
  <c r="AF189" i="3" s="1"/>
  <c r="AF40" i="3"/>
  <c r="AF183" i="3" s="1"/>
  <c r="AF49" i="3"/>
  <c r="AF45" i="3"/>
  <c r="AF188" i="3" s="1"/>
  <c r="AF41" i="3"/>
  <c r="AF184" i="3" s="1"/>
  <c r="AF42" i="3"/>
  <c r="AF185" i="3" s="1"/>
  <c r="AF47" i="3"/>
  <c r="AF190" i="3" s="1"/>
  <c r="AF43" i="3"/>
  <c r="AF186" i="3" s="1"/>
  <c r="AF48" i="3"/>
  <c r="AF191" i="3" s="1"/>
  <c r="AF27" i="3"/>
  <c r="AF170" i="3" s="1"/>
  <c r="AF21" i="3"/>
  <c r="AF164" i="3" s="1"/>
  <c r="AF31" i="3"/>
  <c r="AF174" i="3" s="1"/>
  <c r="AF30" i="3"/>
  <c r="AF173" i="3" s="1"/>
  <c r="AF29" i="3"/>
  <c r="AF172" i="3" s="1"/>
  <c r="AF20" i="3"/>
  <c r="AF163" i="3" s="1"/>
  <c r="AF22" i="3"/>
  <c r="AF165" i="3" s="1"/>
  <c r="AF26" i="3"/>
  <c r="AF169" i="3" s="1"/>
  <c r="AF34" i="3"/>
  <c r="AF177" i="3" s="1"/>
  <c r="AF39" i="3"/>
  <c r="AF182" i="3" s="1"/>
  <c r="AF33" i="3"/>
  <c r="AF176" i="3" s="1"/>
  <c r="AF28" i="3"/>
  <c r="AF171" i="3" s="1"/>
  <c r="AF25" i="3"/>
  <c r="AF168" i="3" s="1"/>
  <c r="AF23" i="3"/>
  <c r="AF166" i="3" s="1"/>
  <c r="AF24" i="3"/>
  <c r="AF167" i="3" s="1"/>
  <c r="AF38" i="3"/>
  <c r="AF181" i="3" s="1"/>
  <c r="AF37" i="3"/>
  <c r="AF180" i="3" s="1"/>
  <c r="AF32" i="3"/>
  <c r="AF175" i="3" s="1"/>
  <c r="AF19" i="3"/>
  <c r="AF162" i="3" s="1"/>
  <c r="AF36" i="3"/>
  <c r="AF179" i="3" s="1"/>
  <c r="G17" i="4"/>
  <c r="AG5" i="3"/>
  <c r="AF5" i="1"/>
  <c r="AD71" i="1" l="1"/>
  <c r="AG7" i="6"/>
  <c r="AE35" i="6"/>
  <c r="AE37" i="6"/>
  <c r="J24" i="4"/>
  <c r="V9" i="6"/>
  <c r="G19" i="4"/>
  <c r="M12" i="6"/>
  <c r="AF35" i="6"/>
  <c r="AF37" i="6"/>
  <c r="AE8" i="1"/>
  <c r="AF8" i="6"/>
  <c r="AD60" i="6"/>
  <c r="AB58" i="1" s="1"/>
  <c r="AD48" i="6"/>
  <c r="AB49" i="1" s="1"/>
  <c r="I79" i="6"/>
  <c r="AE147" i="3"/>
  <c r="AF79" i="3"/>
  <c r="AF74" i="3" s="1"/>
  <c r="AE11" i="1"/>
  <c r="AG10" i="6" s="1"/>
  <c r="AE220" i="3"/>
  <c r="G42" i="4"/>
  <c r="AF78" i="3"/>
  <c r="AG139" i="3"/>
  <c r="AG140" i="3"/>
  <c r="AG118" i="3"/>
  <c r="AG126" i="3"/>
  <c r="AG127" i="3"/>
  <c r="AG128" i="3"/>
  <c r="AG124" i="3"/>
  <c r="AG123" i="3"/>
  <c r="AG63" i="3"/>
  <c r="AG206" i="3" s="1"/>
  <c r="AG60" i="3"/>
  <c r="AG203" i="3" s="1"/>
  <c r="AG70" i="3"/>
  <c r="AG213" i="3" s="1"/>
  <c r="AG65" i="3"/>
  <c r="AG208" i="3" s="1"/>
  <c r="AG72" i="3"/>
  <c r="AG215" i="3" s="1"/>
  <c r="AG55" i="3"/>
  <c r="AG198" i="3" s="1"/>
  <c r="AG68" i="3"/>
  <c r="AG211" i="3" s="1"/>
  <c r="AG57" i="3"/>
  <c r="AG200" i="3" s="1"/>
  <c r="AG67" i="3"/>
  <c r="AG210" i="3" s="1"/>
  <c r="AG61" i="3"/>
  <c r="AG204" i="3" s="1"/>
  <c r="AG64" i="3"/>
  <c r="AG207" i="3" s="1"/>
  <c r="AG62" i="3"/>
  <c r="AG205" i="3" s="1"/>
  <c r="AG59" i="3"/>
  <c r="AG202" i="3" s="1"/>
  <c r="AG66" i="3"/>
  <c r="AG209" i="3" s="1"/>
  <c r="AG56" i="3"/>
  <c r="AG199" i="3" s="1"/>
  <c r="AG69" i="3"/>
  <c r="AG212" i="3" s="1"/>
  <c r="AG58" i="3"/>
  <c r="AG201" i="3" s="1"/>
  <c r="AG53" i="3"/>
  <c r="AG196" i="3" s="1"/>
  <c r="AG71" i="3"/>
  <c r="AG214" i="3" s="1"/>
  <c r="AG54" i="3"/>
  <c r="AG197" i="3" s="1"/>
  <c r="AG119" i="3"/>
  <c r="AG134" i="3"/>
  <c r="AG129" i="3"/>
  <c r="AG130" i="3"/>
  <c r="AG122" i="3"/>
  <c r="AG125" i="3"/>
  <c r="AG138" i="3"/>
  <c r="AG121" i="3"/>
  <c r="AG135" i="3"/>
  <c r="AG131" i="3"/>
  <c r="AG136" i="3"/>
  <c r="AG132" i="3"/>
  <c r="AG137" i="3"/>
  <c r="AG133" i="3"/>
  <c r="AG50" i="3"/>
  <c r="AG193" i="3" s="1"/>
  <c r="AG51" i="3"/>
  <c r="AG194" i="3" s="1"/>
  <c r="G12" i="4"/>
  <c r="G13" i="4" s="1"/>
  <c r="K14" i="1"/>
  <c r="J72" i="1" s="1"/>
  <c r="AG237" i="3"/>
  <c r="AG101" i="3"/>
  <c r="AG100" i="3"/>
  <c r="AG106" i="3"/>
  <c r="AG92" i="3"/>
  <c r="AG93" i="3"/>
  <c r="AG87" i="3"/>
  <c r="AG91" i="3"/>
  <c r="AG96" i="3"/>
  <c r="AG88" i="3"/>
  <c r="AG97" i="3"/>
  <c r="AG89" i="3"/>
  <c r="AG102" i="3"/>
  <c r="AG98" i="3"/>
  <c r="AG104" i="3"/>
  <c r="AG90" i="3"/>
  <c r="AG107" i="3"/>
  <c r="AG94" i="3"/>
  <c r="AG108" i="3"/>
  <c r="AG105" i="3"/>
  <c r="AG95" i="3"/>
  <c r="AG99" i="3"/>
  <c r="AG109" i="3"/>
  <c r="AG110" i="3"/>
  <c r="AG111" i="3"/>
  <c r="AG112" i="3"/>
  <c r="AG113" i="3"/>
  <c r="AG114" i="3"/>
  <c r="AG115" i="3"/>
  <c r="AG116" i="3"/>
  <c r="AG117" i="3"/>
  <c r="L157" i="3"/>
  <c r="L31" i="1" s="1"/>
  <c r="L13" i="1"/>
  <c r="G67" i="2"/>
  <c r="AE146" i="3"/>
  <c r="U234" i="3"/>
  <c r="U239" i="3" s="1"/>
  <c r="U35" i="1" s="1"/>
  <c r="AF7" i="1"/>
  <c r="AH7" i="6" s="1"/>
  <c r="J32" i="1"/>
  <c r="J38" i="1" s="1"/>
  <c r="M145" i="3"/>
  <c r="M149" i="3" s="1"/>
  <c r="L12" i="1"/>
  <c r="M151" i="3"/>
  <c r="M154" i="3" s="1"/>
  <c r="M14" i="3" s="1"/>
  <c r="L20" i="1"/>
  <c r="N12" i="6" s="1"/>
  <c r="AG12" i="3"/>
  <c r="AF232" i="3"/>
  <c r="AF22" i="1" s="1"/>
  <c r="N22" i="4" s="1"/>
  <c r="AF192" i="3"/>
  <c r="AG47" i="3"/>
  <c r="AG190" i="3" s="1"/>
  <c r="AG43" i="3"/>
  <c r="AG186" i="3" s="1"/>
  <c r="AG46" i="3"/>
  <c r="AG189" i="3" s="1"/>
  <c r="AG49" i="3"/>
  <c r="AG42" i="3"/>
  <c r="AG185" i="3" s="1"/>
  <c r="AG44" i="3"/>
  <c r="AG187" i="3" s="1"/>
  <c r="AG40" i="3"/>
  <c r="AG183" i="3" s="1"/>
  <c r="AG45" i="3"/>
  <c r="AG188" i="3" s="1"/>
  <c r="AG41" i="3"/>
  <c r="AG184" i="3" s="1"/>
  <c r="AG48" i="3"/>
  <c r="AG191" i="3" s="1"/>
  <c r="AG31" i="3"/>
  <c r="AG174" i="3" s="1"/>
  <c r="AG26" i="3"/>
  <c r="AG169" i="3" s="1"/>
  <c r="AG20" i="3"/>
  <c r="AG163" i="3" s="1"/>
  <c r="AG27" i="3"/>
  <c r="AG170" i="3" s="1"/>
  <c r="AG33" i="3"/>
  <c r="AG176" i="3" s="1"/>
  <c r="AG29" i="3"/>
  <c r="AG172" i="3" s="1"/>
  <c r="AG21" i="3"/>
  <c r="AG164" i="3" s="1"/>
  <c r="AG25" i="3"/>
  <c r="AG168" i="3" s="1"/>
  <c r="AG30" i="3"/>
  <c r="AG173" i="3" s="1"/>
  <c r="AG38" i="3"/>
  <c r="AG181" i="3" s="1"/>
  <c r="AG22" i="3"/>
  <c r="AG165" i="3" s="1"/>
  <c r="AG37" i="3"/>
  <c r="AG180" i="3" s="1"/>
  <c r="AG28" i="3"/>
  <c r="AG171" i="3" s="1"/>
  <c r="AG34" i="3"/>
  <c r="AG177" i="3" s="1"/>
  <c r="AG19" i="3"/>
  <c r="AG162" i="3" s="1"/>
  <c r="AG39" i="3"/>
  <c r="AG182" i="3" s="1"/>
  <c r="AG32" i="3"/>
  <c r="AG175" i="3" s="1"/>
  <c r="AG36" i="3"/>
  <c r="AG179" i="3" s="1"/>
  <c r="AG23" i="3"/>
  <c r="AG166" i="3" s="1"/>
  <c r="AG24" i="3"/>
  <c r="AG167" i="3" s="1"/>
  <c r="H33" i="6"/>
  <c r="F48" i="1" s="1"/>
  <c r="H48" i="6"/>
  <c r="F49" i="1" s="1"/>
  <c r="AH5" i="3"/>
  <c r="O146" i="3"/>
  <c r="O80" i="3"/>
  <c r="AG5" i="1"/>
  <c r="AH50" i="6" l="1"/>
  <c r="AH55" i="6"/>
  <c r="AH53" i="6"/>
  <c r="AH57" i="6"/>
  <c r="AG37" i="6"/>
  <c r="AG35" i="6"/>
  <c r="V67" i="6"/>
  <c r="V66" i="6"/>
  <c r="AG50" i="6"/>
  <c r="AG55" i="6"/>
  <c r="AG53" i="6"/>
  <c r="AG57" i="6"/>
  <c r="L14" i="1"/>
  <c r="K72" i="1" s="1"/>
  <c r="N11" i="6"/>
  <c r="AF8" i="1"/>
  <c r="AG8" i="6"/>
  <c r="AE60" i="6"/>
  <c r="AC58" i="1" s="1"/>
  <c r="AE48" i="6"/>
  <c r="AC49" i="1" s="1"/>
  <c r="O60" i="6"/>
  <c r="O79" i="6"/>
  <c r="M59" i="1" s="1"/>
  <c r="AF147" i="3"/>
  <c r="AG79" i="3"/>
  <c r="AG74" i="3" s="1"/>
  <c r="AF11" i="1"/>
  <c r="AF220" i="3"/>
  <c r="AG78" i="3"/>
  <c r="AH54" i="3"/>
  <c r="AH197" i="3" s="1"/>
  <c r="AH140" i="3"/>
  <c r="AH131" i="3"/>
  <c r="AH60" i="3"/>
  <c r="AH203" i="3" s="1"/>
  <c r="AH118" i="3"/>
  <c r="AH126" i="3"/>
  <c r="AH129" i="3"/>
  <c r="AH61" i="3"/>
  <c r="AH204" i="3" s="1"/>
  <c r="AH124" i="3"/>
  <c r="AH55" i="3"/>
  <c r="AH198" i="3" s="1"/>
  <c r="AH133" i="3"/>
  <c r="AH123" i="3"/>
  <c r="AH67" i="3"/>
  <c r="AH210" i="3" s="1"/>
  <c r="AH64" i="3"/>
  <c r="AH207" i="3" s="1"/>
  <c r="AH72" i="3"/>
  <c r="AH215" i="3" s="1"/>
  <c r="AH65" i="3"/>
  <c r="AH208" i="3" s="1"/>
  <c r="AH139" i="3"/>
  <c r="AH56" i="3"/>
  <c r="AH199" i="3" s="1"/>
  <c r="AH66" i="3"/>
  <c r="AH209" i="3" s="1"/>
  <c r="AH68" i="3"/>
  <c r="AH211" i="3" s="1"/>
  <c r="AH62" i="3"/>
  <c r="AH205" i="3" s="1"/>
  <c r="AH59" i="3"/>
  <c r="AH202" i="3" s="1"/>
  <c r="AH57" i="3"/>
  <c r="AH200" i="3" s="1"/>
  <c r="AH70" i="3"/>
  <c r="AH213" i="3" s="1"/>
  <c r="AH71" i="3"/>
  <c r="AH214" i="3" s="1"/>
  <c r="AH69" i="3"/>
  <c r="AH212" i="3" s="1"/>
  <c r="AH53" i="3"/>
  <c r="AH196" i="3" s="1"/>
  <c r="AH63" i="3"/>
  <c r="AH206" i="3" s="1"/>
  <c r="AH58" i="3"/>
  <c r="AH201" i="3" s="1"/>
  <c r="AH119" i="3"/>
  <c r="AH121" i="3"/>
  <c r="AH122" i="3"/>
  <c r="AH136" i="3"/>
  <c r="AH125" i="3"/>
  <c r="AH132" i="3"/>
  <c r="AH138" i="3"/>
  <c r="AH137" i="3"/>
  <c r="AH130" i="3"/>
  <c r="AH134" i="3"/>
  <c r="AH127" i="3"/>
  <c r="AH135" i="3"/>
  <c r="AH128" i="3"/>
  <c r="AH50" i="3"/>
  <c r="AH193" i="3" s="1"/>
  <c r="AH51" i="3"/>
  <c r="AH194" i="3" s="1"/>
  <c r="AH237" i="3"/>
  <c r="AH101" i="3"/>
  <c r="AH93" i="3"/>
  <c r="AH88" i="3"/>
  <c r="AH97" i="3"/>
  <c r="AH96" i="3"/>
  <c r="AH92" i="3"/>
  <c r="AH100" i="3"/>
  <c r="AH106" i="3"/>
  <c r="AH87" i="3"/>
  <c r="AH91" i="3"/>
  <c r="AH104" i="3"/>
  <c r="AH98" i="3"/>
  <c r="AH108" i="3"/>
  <c r="AH102" i="3"/>
  <c r="AH90" i="3"/>
  <c r="AH89" i="3"/>
  <c r="AH107" i="3"/>
  <c r="AH94" i="3"/>
  <c r="AH99" i="3"/>
  <c r="AH95" i="3"/>
  <c r="AH105" i="3"/>
  <c r="AH109" i="3"/>
  <c r="AH110" i="3"/>
  <c r="AH111" i="3"/>
  <c r="AH112" i="3"/>
  <c r="AH113" i="3"/>
  <c r="AH114" i="3"/>
  <c r="AH115" i="3"/>
  <c r="AH116" i="3"/>
  <c r="AH117" i="3"/>
  <c r="G61" i="4"/>
  <c r="M157" i="3"/>
  <c r="M31" i="1" s="1"/>
  <c r="M13" i="1"/>
  <c r="AF146" i="3"/>
  <c r="AF218" i="3"/>
  <c r="AF221" i="3" s="1"/>
  <c r="AF29" i="1" s="1"/>
  <c r="AE218" i="3"/>
  <c r="AE221" i="3" s="1"/>
  <c r="AE29" i="1" s="1"/>
  <c r="U36" i="1"/>
  <c r="AG7" i="1"/>
  <c r="AI7" i="6" s="1"/>
  <c r="AE71" i="1"/>
  <c r="N7" i="4"/>
  <c r="N8" i="4" s="1"/>
  <c r="V233" i="3"/>
  <c r="V23" i="1" s="1"/>
  <c r="U24" i="1"/>
  <c r="W9" i="6" s="1"/>
  <c r="V231" i="3"/>
  <c r="O82" i="3"/>
  <c r="O18" i="1" s="1"/>
  <c r="O152" i="3"/>
  <c r="N151" i="3"/>
  <c r="M20" i="1"/>
  <c r="O12" i="6" s="1"/>
  <c r="N145" i="3"/>
  <c r="M12" i="1"/>
  <c r="O222" i="3"/>
  <c r="O30" i="1" s="1"/>
  <c r="O42" i="1" s="1"/>
  <c r="AH12" i="3"/>
  <c r="AG232" i="3"/>
  <c r="AG22" i="1" s="1"/>
  <c r="AG192" i="3"/>
  <c r="AH49" i="3"/>
  <c r="AH45" i="3"/>
  <c r="AH188" i="3" s="1"/>
  <c r="AH41" i="3"/>
  <c r="AH184" i="3" s="1"/>
  <c r="AH44" i="3"/>
  <c r="AH187" i="3" s="1"/>
  <c r="AH46" i="3"/>
  <c r="AH189" i="3" s="1"/>
  <c r="AH48" i="3"/>
  <c r="AH191" i="3" s="1"/>
  <c r="AH40" i="3"/>
  <c r="AH183" i="3" s="1"/>
  <c r="AH42" i="3"/>
  <c r="AH185" i="3" s="1"/>
  <c r="AH47" i="3"/>
  <c r="AH190" i="3" s="1"/>
  <c r="AH43" i="3"/>
  <c r="AH186" i="3" s="1"/>
  <c r="AH24" i="3"/>
  <c r="AH167" i="3" s="1"/>
  <c r="AH32" i="3"/>
  <c r="AH175" i="3" s="1"/>
  <c r="AH30" i="3"/>
  <c r="AH173" i="3" s="1"/>
  <c r="AH29" i="3"/>
  <c r="AH172" i="3" s="1"/>
  <c r="AH21" i="3"/>
  <c r="AH164" i="3" s="1"/>
  <c r="AH22" i="3"/>
  <c r="AH165" i="3" s="1"/>
  <c r="AH28" i="3"/>
  <c r="AH171" i="3" s="1"/>
  <c r="AH26" i="3"/>
  <c r="AH169" i="3" s="1"/>
  <c r="AH20" i="3"/>
  <c r="AH163" i="3" s="1"/>
  <c r="AH33" i="3"/>
  <c r="AH176" i="3" s="1"/>
  <c r="AH36" i="3"/>
  <c r="AH179" i="3" s="1"/>
  <c r="AH27" i="3"/>
  <c r="AH170" i="3" s="1"/>
  <c r="AH19" i="3"/>
  <c r="AH162" i="3" s="1"/>
  <c r="AH39" i="3"/>
  <c r="AH182" i="3" s="1"/>
  <c r="AH38" i="3"/>
  <c r="AH181" i="3" s="1"/>
  <c r="AH37" i="3"/>
  <c r="AH180" i="3" s="1"/>
  <c r="AH23" i="3"/>
  <c r="AH166" i="3" s="1"/>
  <c r="AH34" i="3"/>
  <c r="AH177" i="3" s="1"/>
  <c r="AH31" i="3"/>
  <c r="AH174" i="3" s="1"/>
  <c r="AH25" i="3"/>
  <c r="AH168" i="3" s="1"/>
  <c r="AH5" i="1"/>
  <c r="P80" i="3"/>
  <c r="P146" i="3"/>
  <c r="AI5" i="3"/>
  <c r="AI57" i="6" l="1"/>
  <c r="AI50" i="6"/>
  <c r="AI55" i="6"/>
  <c r="AI53" i="6"/>
  <c r="V79" i="6"/>
  <c r="T59" i="1" s="1"/>
  <c r="V64" i="6"/>
  <c r="T50" i="1" s="1"/>
  <c r="W67" i="6"/>
  <c r="W66" i="6"/>
  <c r="M14" i="1"/>
  <c r="L72" i="1" s="1"/>
  <c r="O11" i="6"/>
  <c r="N10" i="4"/>
  <c r="AH10" i="6"/>
  <c r="AG8" i="1"/>
  <c r="AH8" i="6"/>
  <c r="AF60" i="6"/>
  <c r="AD58" i="1" s="1"/>
  <c r="AF48" i="6"/>
  <c r="AD49" i="1" s="1"/>
  <c r="AG147" i="3"/>
  <c r="AH79" i="3"/>
  <c r="AH74" i="3" s="1"/>
  <c r="O43" i="1"/>
  <c r="AG11" i="1"/>
  <c r="AI10" i="6" s="1"/>
  <c r="AG220" i="3"/>
  <c r="AH78" i="3"/>
  <c r="AI140" i="3"/>
  <c r="AI54" i="3"/>
  <c r="AI197" i="3" s="1"/>
  <c r="AI118" i="3"/>
  <c r="AI67" i="3"/>
  <c r="AI210" i="3" s="1"/>
  <c r="AI123" i="3"/>
  <c r="AI124" i="3"/>
  <c r="AI127" i="3"/>
  <c r="AI66" i="3"/>
  <c r="AI209" i="3" s="1"/>
  <c r="AI70" i="3"/>
  <c r="AI213" i="3" s="1"/>
  <c r="AI55" i="3"/>
  <c r="AI198" i="3" s="1"/>
  <c r="AI69" i="3"/>
  <c r="AI212" i="3" s="1"/>
  <c r="AI63" i="3"/>
  <c r="AI206" i="3" s="1"/>
  <c r="AI62" i="3"/>
  <c r="AI205" i="3" s="1"/>
  <c r="AI58" i="3"/>
  <c r="AI201" i="3" s="1"/>
  <c r="AI71" i="3"/>
  <c r="AI214" i="3" s="1"/>
  <c r="AI72" i="3"/>
  <c r="AI215" i="3" s="1"/>
  <c r="AI139" i="3"/>
  <c r="AI65" i="3"/>
  <c r="AI208" i="3" s="1"/>
  <c r="AI56" i="3"/>
  <c r="AI199" i="3" s="1"/>
  <c r="AI57" i="3"/>
  <c r="AI200" i="3" s="1"/>
  <c r="AI61" i="3"/>
  <c r="AI204" i="3" s="1"/>
  <c r="AI59" i="3"/>
  <c r="AI202" i="3" s="1"/>
  <c r="AI60" i="3"/>
  <c r="AI203" i="3" s="1"/>
  <c r="AI68" i="3"/>
  <c r="AI211" i="3" s="1"/>
  <c r="AI53" i="3"/>
  <c r="AI196" i="3" s="1"/>
  <c r="AI64" i="3"/>
  <c r="AI207" i="3" s="1"/>
  <c r="AI122" i="3"/>
  <c r="AI133" i="3"/>
  <c r="AI126" i="3"/>
  <c r="AI135" i="3"/>
  <c r="AI137" i="3"/>
  <c r="AI131" i="3"/>
  <c r="AI121" i="3"/>
  <c r="AI134" i="3"/>
  <c r="AI129" i="3"/>
  <c r="AI130" i="3"/>
  <c r="AI128" i="3"/>
  <c r="AI132" i="3"/>
  <c r="AI119" i="3"/>
  <c r="AI125" i="3"/>
  <c r="AI138" i="3"/>
  <c r="AI136" i="3"/>
  <c r="AI50" i="3"/>
  <c r="AI193" i="3" s="1"/>
  <c r="AI51" i="3"/>
  <c r="AI194" i="3" s="1"/>
  <c r="AI237" i="3"/>
  <c r="AI100" i="3"/>
  <c r="AI96" i="3"/>
  <c r="AI106" i="3"/>
  <c r="AI101" i="3"/>
  <c r="AI93" i="3"/>
  <c r="AI87" i="3"/>
  <c r="AI92" i="3"/>
  <c r="AI88" i="3"/>
  <c r="AI97" i="3"/>
  <c r="AI91" i="3"/>
  <c r="AI89" i="3"/>
  <c r="AI108" i="3"/>
  <c r="AI102" i="3"/>
  <c r="AI90" i="3"/>
  <c r="AI104" i="3"/>
  <c r="AI98" i="3"/>
  <c r="AI107" i="3"/>
  <c r="AI94" i="3"/>
  <c r="AI105" i="3"/>
  <c r="AI99" i="3"/>
  <c r="AI95" i="3"/>
  <c r="AI109" i="3"/>
  <c r="AI110" i="3"/>
  <c r="AI111" i="3"/>
  <c r="AI112" i="3"/>
  <c r="AI113" i="3"/>
  <c r="AI114" i="3"/>
  <c r="AI115" i="3"/>
  <c r="AI116" i="3"/>
  <c r="AI117" i="3"/>
  <c r="AG146" i="3"/>
  <c r="F46" i="4"/>
  <c r="N29" i="4"/>
  <c r="V234" i="3"/>
  <c r="V239" i="3" s="1"/>
  <c r="V35" i="1" s="1"/>
  <c r="O223" i="3"/>
  <c r="AH7" i="1"/>
  <c r="AF71" i="1"/>
  <c r="N60" i="4" s="1"/>
  <c r="F47" i="4"/>
  <c r="P82" i="3"/>
  <c r="P18" i="1" s="1"/>
  <c r="P152" i="3"/>
  <c r="P222" i="3"/>
  <c r="P30" i="1" s="1"/>
  <c r="P42" i="1" s="1"/>
  <c r="P43" i="1" s="1"/>
  <c r="AH232" i="3"/>
  <c r="AH22" i="1" s="1"/>
  <c r="AI12" i="3"/>
  <c r="AH192" i="3"/>
  <c r="AI40" i="3"/>
  <c r="AI183" i="3" s="1"/>
  <c r="AI43" i="3"/>
  <c r="AI186" i="3" s="1"/>
  <c r="AI45" i="3"/>
  <c r="AI188" i="3" s="1"/>
  <c r="AI42" i="3"/>
  <c r="AI185" i="3" s="1"/>
  <c r="AI47" i="3"/>
  <c r="AI190" i="3" s="1"/>
  <c r="AI44" i="3"/>
  <c r="AI187" i="3" s="1"/>
  <c r="AI48" i="3"/>
  <c r="AI191" i="3" s="1"/>
  <c r="AI41" i="3"/>
  <c r="AI184" i="3" s="1"/>
  <c r="AI49" i="3"/>
  <c r="AI46" i="3"/>
  <c r="AI189" i="3" s="1"/>
  <c r="AI28" i="3"/>
  <c r="AI171" i="3" s="1"/>
  <c r="AI39" i="3"/>
  <c r="AI182" i="3" s="1"/>
  <c r="AI22" i="3"/>
  <c r="AI165" i="3" s="1"/>
  <c r="AI24" i="3"/>
  <c r="AI167" i="3" s="1"/>
  <c r="AI26" i="3"/>
  <c r="AI169" i="3" s="1"/>
  <c r="AI34" i="3"/>
  <c r="AI177" i="3" s="1"/>
  <c r="AI30" i="3"/>
  <c r="AI173" i="3" s="1"/>
  <c r="AI20" i="3"/>
  <c r="AI163" i="3" s="1"/>
  <c r="AI31" i="3"/>
  <c r="AI174" i="3" s="1"/>
  <c r="AI29" i="3"/>
  <c r="AI172" i="3" s="1"/>
  <c r="AI25" i="3"/>
  <c r="AI168" i="3" s="1"/>
  <c r="AI27" i="3"/>
  <c r="AI170" i="3" s="1"/>
  <c r="AI33" i="3"/>
  <c r="AI176" i="3" s="1"/>
  <c r="AI23" i="3"/>
  <c r="AI166" i="3" s="1"/>
  <c r="AI37" i="3"/>
  <c r="AI180" i="3" s="1"/>
  <c r="AI36" i="3"/>
  <c r="AI179" i="3" s="1"/>
  <c r="AI32" i="3"/>
  <c r="AI175" i="3" s="1"/>
  <c r="AI38" i="3"/>
  <c r="AI181" i="3" s="1"/>
  <c r="AI21" i="3"/>
  <c r="AI164" i="3" s="1"/>
  <c r="AI19" i="3"/>
  <c r="AI162" i="3" s="1"/>
  <c r="AI5" i="1"/>
  <c r="AJ5" i="3"/>
  <c r="Q80" i="3"/>
  <c r="Q146" i="3"/>
  <c r="AI35" i="6" l="1"/>
  <c r="AI37" i="6"/>
  <c r="AG71" i="1"/>
  <c r="AJ7" i="6"/>
  <c r="AH37" i="6"/>
  <c r="AH35" i="6"/>
  <c r="W79" i="6"/>
  <c r="U59" i="1" s="1"/>
  <c r="W64" i="6"/>
  <c r="U50" i="1" s="1"/>
  <c r="AH8" i="1"/>
  <c r="AI8" i="6"/>
  <c r="AG60" i="6"/>
  <c r="AE58" i="1" s="1"/>
  <c r="AG48" i="6"/>
  <c r="AE49" i="1" s="1"/>
  <c r="P79" i="6"/>
  <c r="N59" i="1" s="1"/>
  <c r="P60" i="6"/>
  <c r="N58" i="1" s="1"/>
  <c r="AH147" i="3"/>
  <c r="AI79" i="3"/>
  <c r="AI74" i="3" s="1"/>
  <c r="AH11" i="1"/>
  <c r="AJ10" i="6" s="1"/>
  <c r="AH220" i="3"/>
  <c r="AI78" i="3"/>
  <c r="AJ140" i="3"/>
  <c r="AJ139" i="3"/>
  <c r="AJ54" i="3"/>
  <c r="AJ197" i="3" s="1"/>
  <c r="AJ61" i="3"/>
  <c r="AJ204" i="3" s="1"/>
  <c r="AJ56" i="3"/>
  <c r="AJ199" i="3" s="1"/>
  <c r="AJ126" i="3"/>
  <c r="AJ69" i="3"/>
  <c r="AJ212" i="3" s="1"/>
  <c r="AJ71" i="3"/>
  <c r="AJ214" i="3" s="1"/>
  <c r="AJ55" i="3"/>
  <c r="AJ198" i="3" s="1"/>
  <c r="AJ118" i="3"/>
  <c r="AJ123" i="3"/>
  <c r="AJ60" i="3"/>
  <c r="AJ203" i="3" s="1"/>
  <c r="AJ59" i="3"/>
  <c r="AJ202" i="3" s="1"/>
  <c r="AJ62" i="3"/>
  <c r="AJ205" i="3" s="1"/>
  <c r="AJ68" i="3"/>
  <c r="AJ211" i="3" s="1"/>
  <c r="AJ63" i="3"/>
  <c r="AJ206" i="3" s="1"/>
  <c r="AJ67" i="3"/>
  <c r="AJ210" i="3" s="1"/>
  <c r="AJ66" i="3"/>
  <c r="AJ209" i="3" s="1"/>
  <c r="AJ64" i="3"/>
  <c r="AJ207" i="3" s="1"/>
  <c r="AJ58" i="3"/>
  <c r="AJ201" i="3" s="1"/>
  <c r="AJ57" i="3"/>
  <c r="AJ200" i="3" s="1"/>
  <c r="AJ72" i="3"/>
  <c r="AJ215" i="3" s="1"/>
  <c r="AJ70" i="3"/>
  <c r="AJ213" i="3" s="1"/>
  <c r="AJ65" i="3"/>
  <c r="AJ208" i="3" s="1"/>
  <c r="AJ53" i="3"/>
  <c r="AJ196" i="3" s="1"/>
  <c r="AJ131" i="3"/>
  <c r="AJ134" i="3"/>
  <c r="AJ122" i="3"/>
  <c r="AJ133" i="3"/>
  <c r="AJ130" i="3"/>
  <c r="AJ125" i="3"/>
  <c r="AJ127" i="3"/>
  <c r="AJ138" i="3"/>
  <c r="AJ124" i="3"/>
  <c r="AJ129" i="3"/>
  <c r="AJ128" i="3"/>
  <c r="AJ137" i="3"/>
  <c r="AJ119" i="3"/>
  <c r="AJ121" i="3"/>
  <c r="AJ135" i="3"/>
  <c r="AJ136" i="3"/>
  <c r="AJ132" i="3"/>
  <c r="AG218" i="3"/>
  <c r="AG221" i="3" s="1"/>
  <c r="AG29" i="1" s="1"/>
  <c r="AJ51" i="3"/>
  <c r="AJ194" i="3" s="1"/>
  <c r="AJ50" i="3"/>
  <c r="AJ193" i="3" s="1"/>
  <c r="AH146" i="3"/>
  <c r="AJ237" i="3"/>
  <c r="AJ93" i="3"/>
  <c r="AJ100" i="3"/>
  <c r="AJ97" i="3"/>
  <c r="AJ88" i="3"/>
  <c r="AJ92" i="3"/>
  <c r="AJ101" i="3"/>
  <c r="AJ96" i="3"/>
  <c r="AJ87" i="3"/>
  <c r="AJ91" i="3"/>
  <c r="AJ104" i="3"/>
  <c r="AJ102" i="3"/>
  <c r="AJ98" i="3"/>
  <c r="AJ106" i="3"/>
  <c r="AJ108" i="3"/>
  <c r="AJ90" i="3"/>
  <c r="AJ107" i="3"/>
  <c r="AJ89" i="3"/>
  <c r="AJ94" i="3"/>
  <c r="AJ105" i="3"/>
  <c r="AJ95" i="3"/>
  <c r="AJ99" i="3"/>
  <c r="AJ109" i="3"/>
  <c r="AJ110" i="3"/>
  <c r="AJ111" i="3"/>
  <c r="AJ112" i="3"/>
  <c r="AJ113" i="3"/>
  <c r="AJ114" i="3"/>
  <c r="AJ115" i="3"/>
  <c r="AJ116" i="3"/>
  <c r="AJ117" i="3"/>
  <c r="V36" i="1"/>
  <c r="AI7" i="1"/>
  <c r="W231" i="3"/>
  <c r="V24" i="1"/>
  <c r="X9" i="6" s="1"/>
  <c r="W233" i="3"/>
  <c r="W23" i="1" s="1"/>
  <c r="K23" i="4" s="1"/>
  <c r="Q82" i="3"/>
  <c r="Q18" i="1" s="1"/>
  <c r="Q152" i="3"/>
  <c r="Q222" i="3"/>
  <c r="Q30" i="1" s="1"/>
  <c r="AI232" i="3"/>
  <c r="AI22" i="1" s="1"/>
  <c r="O22" i="4" s="1"/>
  <c r="AJ12" i="3"/>
  <c r="AI192" i="3"/>
  <c r="AJ49" i="3"/>
  <c r="AJ48" i="3"/>
  <c r="AJ191" i="3" s="1"/>
  <c r="AJ47" i="3"/>
  <c r="AJ190" i="3" s="1"/>
  <c r="AJ43" i="3"/>
  <c r="AJ186" i="3" s="1"/>
  <c r="AJ44" i="3"/>
  <c r="AJ187" i="3" s="1"/>
  <c r="AJ46" i="3"/>
  <c r="AJ189" i="3" s="1"/>
  <c r="AJ40" i="3"/>
  <c r="AJ183" i="3" s="1"/>
  <c r="AJ45" i="3"/>
  <c r="AJ188" i="3" s="1"/>
  <c r="AJ41" i="3"/>
  <c r="AJ184" i="3" s="1"/>
  <c r="AJ42" i="3"/>
  <c r="AJ185" i="3" s="1"/>
  <c r="AJ27" i="3"/>
  <c r="AJ170" i="3" s="1"/>
  <c r="AJ33" i="3"/>
  <c r="AJ176" i="3" s="1"/>
  <c r="AJ26" i="3"/>
  <c r="AJ169" i="3" s="1"/>
  <c r="AJ25" i="3"/>
  <c r="AJ168" i="3" s="1"/>
  <c r="AJ29" i="3"/>
  <c r="AJ172" i="3" s="1"/>
  <c r="AJ21" i="3"/>
  <c r="AJ164" i="3" s="1"/>
  <c r="AJ30" i="3"/>
  <c r="AJ173" i="3" s="1"/>
  <c r="AJ31" i="3"/>
  <c r="AJ174" i="3" s="1"/>
  <c r="AJ22" i="3"/>
  <c r="AJ165" i="3" s="1"/>
  <c r="AJ37" i="3"/>
  <c r="AJ180" i="3" s="1"/>
  <c r="AJ34" i="3"/>
  <c r="AJ177" i="3" s="1"/>
  <c r="AJ36" i="3"/>
  <c r="AJ179" i="3" s="1"/>
  <c r="AJ19" i="3"/>
  <c r="AJ162" i="3" s="1"/>
  <c r="AJ39" i="3"/>
  <c r="AJ182" i="3" s="1"/>
  <c r="AJ38" i="3"/>
  <c r="AJ181" i="3" s="1"/>
  <c r="AJ23" i="3"/>
  <c r="AJ166" i="3" s="1"/>
  <c r="AJ32" i="3"/>
  <c r="AJ175" i="3" s="1"/>
  <c r="AJ28" i="3"/>
  <c r="AJ171" i="3" s="1"/>
  <c r="AJ20" i="3"/>
  <c r="AJ163" i="3" s="1"/>
  <c r="AJ24" i="3"/>
  <c r="AJ167" i="3" s="1"/>
  <c r="M32" i="1"/>
  <c r="M38" i="1" s="1"/>
  <c r="I48" i="6"/>
  <c r="G49" i="1" s="1"/>
  <c r="I33" i="6"/>
  <c r="G48" i="1" s="1"/>
  <c r="AK5" i="3"/>
  <c r="AJ5" i="1"/>
  <c r="R80" i="3"/>
  <c r="R222" i="3"/>
  <c r="R30" i="1" s="1"/>
  <c r="R42" i="1" s="1"/>
  <c r="AJ55" i="6" l="1"/>
  <c r="AJ50" i="6"/>
  <c r="AJ53" i="6"/>
  <c r="AJ57" i="6"/>
  <c r="AJ37" i="6"/>
  <c r="AJ35" i="6"/>
  <c r="X66" i="6"/>
  <c r="X67" i="6"/>
  <c r="AH71" i="1"/>
  <c r="AK7" i="6"/>
  <c r="AH60" i="6"/>
  <c r="AF58" i="1" s="1"/>
  <c r="AH48" i="6"/>
  <c r="AF49" i="1" s="1"/>
  <c r="AI8" i="1"/>
  <c r="AJ8" i="6"/>
  <c r="AI147" i="3"/>
  <c r="AJ79" i="3"/>
  <c r="AJ74" i="3" s="1"/>
  <c r="AI11" i="1"/>
  <c r="AK10" i="6" s="1"/>
  <c r="AI220" i="3"/>
  <c r="R43" i="1"/>
  <c r="I30" i="4"/>
  <c r="Q42" i="1"/>
  <c r="AJ78" i="3"/>
  <c r="AK140" i="3"/>
  <c r="AK63" i="3"/>
  <c r="AK206" i="3" s="1"/>
  <c r="AK139" i="3"/>
  <c r="AK72" i="3"/>
  <c r="AK215" i="3" s="1"/>
  <c r="AK118" i="3"/>
  <c r="AK126" i="3"/>
  <c r="AK67" i="3"/>
  <c r="AK210" i="3" s="1"/>
  <c r="AK61" i="3"/>
  <c r="AK204" i="3" s="1"/>
  <c r="AK66" i="3"/>
  <c r="AK209" i="3" s="1"/>
  <c r="AK56" i="3"/>
  <c r="AK199" i="3" s="1"/>
  <c r="AK55" i="3"/>
  <c r="AK198" i="3" s="1"/>
  <c r="AK69" i="3"/>
  <c r="AK212" i="3" s="1"/>
  <c r="AK70" i="3"/>
  <c r="AK213" i="3" s="1"/>
  <c r="AK65" i="3"/>
  <c r="AK208" i="3" s="1"/>
  <c r="AK123" i="3"/>
  <c r="AK62" i="3"/>
  <c r="AK205" i="3" s="1"/>
  <c r="AK59" i="3"/>
  <c r="AK202" i="3" s="1"/>
  <c r="AK60" i="3"/>
  <c r="AK203" i="3" s="1"/>
  <c r="AK64" i="3"/>
  <c r="AK207" i="3" s="1"/>
  <c r="AK57" i="3"/>
  <c r="AK200" i="3" s="1"/>
  <c r="AK71" i="3"/>
  <c r="AK214" i="3" s="1"/>
  <c r="AK68" i="3"/>
  <c r="AK211" i="3" s="1"/>
  <c r="AK54" i="3"/>
  <c r="AK197" i="3" s="1"/>
  <c r="AK58" i="3"/>
  <c r="AK201" i="3" s="1"/>
  <c r="AK53" i="3"/>
  <c r="AK196" i="3" s="1"/>
  <c r="AK128" i="3"/>
  <c r="AK136" i="3"/>
  <c r="AK134" i="3"/>
  <c r="AK127" i="3"/>
  <c r="AK119" i="3"/>
  <c r="AK125" i="3"/>
  <c r="AK137" i="3"/>
  <c r="AK129" i="3"/>
  <c r="AK131" i="3"/>
  <c r="AK138" i="3"/>
  <c r="AK124" i="3"/>
  <c r="AK133" i="3"/>
  <c r="AK132" i="3"/>
  <c r="AK135" i="3"/>
  <c r="AK130" i="3"/>
  <c r="AK122" i="3"/>
  <c r="AK121" i="3"/>
  <c r="AK51" i="3"/>
  <c r="AK194" i="3" s="1"/>
  <c r="AK50" i="3"/>
  <c r="AK193" i="3" s="1"/>
  <c r="AI146" i="3"/>
  <c r="AK237" i="3"/>
  <c r="AK96" i="3"/>
  <c r="AK92" i="3"/>
  <c r="AK88" i="3"/>
  <c r="AK101" i="3"/>
  <c r="AK100" i="3"/>
  <c r="AK97" i="3"/>
  <c r="AK93" i="3"/>
  <c r="AK106" i="3"/>
  <c r="AK104" i="3"/>
  <c r="AK87" i="3"/>
  <c r="AK91" i="3"/>
  <c r="AK102" i="3"/>
  <c r="AK94" i="3"/>
  <c r="AK108" i="3"/>
  <c r="AK89" i="3"/>
  <c r="AK98" i="3"/>
  <c r="AK90" i="3"/>
  <c r="AK107" i="3"/>
  <c r="AK99" i="3"/>
  <c r="AK95" i="3"/>
  <c r="AK105" i="3"/>
  <c r="AK110" i="3"/>
  <c r="AK109" i="3"/>
  <c r="AK111" i="3"/>
  <c r="AK112" i="3"/>
  <c r="AK113" i="3"/>
  <c r="AK114" i="3"/>
  <c r="AK115" i="3"/>
  <c r="AK116" i="3"/>
  <c r="AK117" i="3"/>
  <c r="AI218" i="3"/>
  <c r="AI221" i="3" s="1"/>
  <c r="AI29" i="1" s="1"/>
  <c r="I10" i="4"/>
  <c r="O10" i="4"/>
  <c r="O7" i="4"/>
  <c r="O8" i="4" s="1"/>
  <c r="AH218" i="3"/>
  <c r="AH221" i="3" s="1"/>
  <c r="AH29" i="1" s="1"/>
  <c r="AJ7" i="1"/>
  <c r="AL7" i="6" s="1"/>
  <c r="W234" i="3"/>
  <c r="W239" i="3" s="1"/>
  <c r="W35" i="1" s="1"/>
  <c r="R82" i="3"/>
  <c r="R18" i="1" s="1"/>
  <c r="R152" i="3"/>
  <c r="Q223" i="3"/>
  <c r="AJ232" i="3"/>
  <c r="AJ22" i="1" s="1"/>
  <c r="AK12" i="3"/>
  <c r="AJ192" i="3"/>
  <c r="AK45" i="3"/>
  <c r="AK188" i="3" s="1"/>
  <c r="AK41" i="3"/>
  <c r="AK184" i="3" s="1"/>
  <c r="AK49" i="3"/>
  <c r="AK47" i="3"/>
  <c r="AK190" i="3" s="1"/>
  <c r="AK40" i="3"/>
  <c r="AK183" i="3" s="1"/>
  <c r="AK48" i="3"/>
  <c r="AK191" i="3" s="1"/>
  <c r="AK42" i="3"/>
  <c r="AK185" i="3" s="1"/>
  <c r="AK43" i="3"/>
  <c r="AK186" i="3" s="1"/>
  <c r="AK46" i="3"/>
  <c r="AK189" i="3" s="1"/>
  <c r="AK44" i="3"/>
  <c r="AK187" i="3" s="1"/>
  <c r="AK36" i="3"/>
  <c r="AK179" i="3" s="1"/>
  <c r="AK26" i="3"/>
  <c r="AK169" i="3" s="1"/>
  <c r="AK31" i="3"/>
  <c r="AK174" i="3" s="1"/>
  <c r="AK22" i="3"/>
  <c r="AK165" i="3" s="1"/>
  <c r="AK27" i="3"/>
  <c r="AK170" i="3" s="1"/>
  <c r="AK39" i="3"/>
  <c r="AK182" i="3" s="1"/>
  <c r="AK29" i="3"/>
  <c r="AK172" i="3" s="1"/>
  <c r="AK24" i="3"/>
  <c r="AK167" i="3" s="1"/>
  <c r="AK20" i="3"/>
  <c r="AK163" i="3" s="1"/>
  <c r="AK30" i="3"/>
  <c r="AK173" i="3" s="1"/>
  <c r="AK34" i="3"/>
  <c r="AK177" i="3" s="1"/>
  <c r="AK32" i="3"/>
  <c r="AK175" i="3" s="1"/>
  <c r="AK38" i="3"/>
  <c r="AK181" i="3" s="1"/>
  <c r="AK25" i="3"/>
  <c r="AK168" i="3" s="1"/>
  <c r="AK37" i="3"/>
  <c r="AK180" i="3" s="1"/>
  <c r="AK21" i="3"/>
  <c r="AK164" i="3" s="1"/>
  <c r="AK19" i="3"/>
  <c r="AK162" i="3" s="1"/>
  <c r="AK28" i="3"/>
  <c r="AK171" i="3" s="1"/>
  <c r="AK33" i="3"/>
  <c r="AK176" i="3" s="1"/>
  <c r="AK23" i="3"/>
  <c r="AK166" i="3" s="1"/>
  <c r="S80" i="3"/>
  <c r="S222" i="3"/>
  <c r="S30" i="1" s="1"/>
  <c r="S42" i="1" s="1"/>
  <c r="S43" i="1" s="1"/>
  <c r="AK5" i="1"/>
  <c r="AL5" i="3"/>
  <c r="AK37" i="6" l="1"/>
  <c r="AK35" i="6"/>
  <c r="X79" i="6"/>
  <c r="V59" i="1" s="1"/>
  <c r="X64" i="6"/>
  <c r="V50" i="1" s="1"/>
  <c r="AK55" i="6"/>
  <c r="AK50" i="6"/>
  <c r="AK53" i="6"/>
  <c r="AK57" i="6"/>
  <c r="AL50" i="6"/>
  <c r="AL55" i="6"/>
  <c r="AL57" i="6"/>
  <c r="AL53" i="6"/>
  <c r="AI48" i="6"/>
  <c r="AG49" i="1" s="1"/>
  <c r="AI60" i="6"/>
  <c r="AG58" i="1" s="1"/>
  <c r="AJ8" i="1"/>
  <c r="AK8" i="6"/>
  <c r="AJ147" i="3"/>
  <c r="AK79" i="3"/>
  <c r="AK74" i="3" s="1"/>
  <c r="Q43" i="1"/>
  <c r="I41" i="4"/>
  <c r="I42" i="4" s="1"/>
  <c r="AJ11" i="1"/>
  <c r="AL10" i="6" s="1"/>
  <c r="AJ220" i="3"/>
  <c r="AK78" i="3"/>
  <c r="AJ146" i="3"/>
  <c r="AL140" i="3"/>
  <c r="AL118" i="3"/>
  <c r="AL127" i="3"/>
  <c r="AL124" i="3"/>
  <c r="AL139" i="3"/>
  <c r="AL126" i="3"/>
  <c r="AL125" i="3"/>
  <c r="AL55" i="3"/>
  <c r="AL198" i="3" s="1"/>
  <c r="AL133" i="3"/>
  <c r="AL123" i="3"/>
  <c r="AL59" i="3"/>
  <c r="AL202" i="3" s="1"/>
  <c r="AL69" i="3"/>
  <c r="AL212" i="3" s="1"/>
  <c r="AL128" i="3"/>
  <c r="AL61" i="3"/>
  <c r="AL204" i="3" s="1"/>
  <c r="AL63" i="3"/>
  <c r="AL206" i="3" s="1"/>
  <c r="AL65" i="3"/>
  <c r="AL208" i="3" s="1"/>
  <c r="AL66" i="3"/>
  <c r="AL209" i="3" s="1"/>
  <c r="AL57" i="3"/>
  <c r="AL200" i="3" s="1"/>
  <c r="AL60" i="3"/>
  <c r="AL203" i="3" s="1"/>
  <c r="AL131" i="3"/>
  <c r="AL54" i="3"/>
  <c r="AL197" i="3" s="1"/>
  <c r="AL70" i="3"/>
  <c r="AL213" i="3" s="1"/>
  <c r="AL64" i="3"/>
  <c r="AL207" i="3" s="1"/>
  <c r="AL71" i="3"/>
  <c r="AL214" i="3" s="1"/>
  <c r="AL72" i="3"/>
  <c r="AL215" i="3" s="1"/>
  <c r="AL67" i="3"/>
  <c r="AL210" i="3" s="1"/>
  <c r="AL62" i="3"/>
  <c r="AL205" i="3" s="1"/>
  <c r="AL53" i="3"/>
  <c r="AL196" i="3" s="1"/>
  <c r="AL68" i="3"/>
  <c r="AL211" i="3" s="1"/>
  <c r="AL56" i="3"/>
  <c r="AL199" i="3" s="1"/>
  <c r="AL58" i="3"/>
  <c r="AL201" i="3" s="1"/>
  <c r="AL135" i="3"/>
  <c r="AL134" i="3"/>
  <c r="AL130" i="3"/>
  <c r="AL137" i="3"/>
  <c r="AL122" i="3"/>
  <c r="AL136" i="3"/>
  <c r="AL121" i="3"/>
  <c r="AL132" i="3"/>
  <c r="AL119" i="3"/>
  <c r="AL138" i="3"/>
  <c r="AL129" i="3"/>
  <c r="AL51" i="3"/>
  <c r="AL194" i="3" s="1"/>
  <c r="AL50" i="3"/>
  <c r="AL193" i="3" s="1"/>
  <c r="AL237" i="3"/>
  <c r="AL106" i="3"/>
  <c r="AL100" i="3"/>
  <c r="AL101" i="3"/>
  <c r="AL93" i="3"/>
  <c r="AL97" i="3"/>
  <c r="AL92" i="3"/>
  <c r="AL104" i="3"/>
  <c r="AL96" i="3"/>
  <c r="AL87" i="3"/>
  <c r="AL108" i="3"/>
  <c r="AL89" i="3"/>
  <c r="AL107" i="3"/>
  <c r="AL91" i="3"/>
  <c r="AL88" i="3"/>
  <c r="AL102" i="3"/>
  <c r="AL94" i="3"/>
  <c r="AL98" i="3"/>
  <c r="AL90" i="3"/>
  <c r="AL99" i="3"/>
  <c r="AL95" i="3"/>
  <c r="AL105" i="3"/>
  <c r="AL109" i="3"/>
  <c r="AL110" i="3"/>
  <c r="AL111" i="3"/>
  <c r="AL112" i="3"/>
  <c r="AL113" i="3"/>
  <c r="AL114" i="3"/>
  <c r="AL115" i="3"/>
  <c r="AL116" i="3"/>
  <c r="AL117" i="3"/>
  <c r="G46" i="4"/>
  <c r="O29" i="4"/>
  <c r="AJ218" i="3"/>
  <c r="AJ221" i="3" s="1"/>
  <c r="AJ29" i="1" s="1"/>
  <c r="W36" i="1"/>
  <c r="K34" i="4"/>
  <c r="AK7" i="1"/>
  <c r="W24" i="1"/>
  <c r="X231" i="3"/>
  <c r="X233" i="3"/>
  <c r="X23" i="1" s="1"/>
  <c r="AI71" i="1"/>
  <c r="O60" i="4" s="1"/>
  <c r="G47" i="4"/>
  <c r="S82" i="3"/>
  <c r="S18" i="1" s="1"/>
  <c r="S152" i="3"/>
  <c r="AL12" i="3"/>
  <c r="AK232" i="3"/>
  <c r="AK22" i="1" s="1"/>
  <c r="AK192" i="3"/>
  <c r="AL42" i="3"/>
  <c r="AL185" i="3" s="1"/>
  <c r="AL49" i="3"/>
  <c r="AL45" i="3"/>
  <c r="AL188" i="3" s="1"/>
  <c r="AL41" i="3"/>
  <c r="AL184" i="3" s="1"/>
  <c r="AL44" i="3"/>
  <c r="AL187" i="3" s="1"/>
  <c r="AL46" i="3"/>
  <c r="AL189" i="3" s="1"/>
  <c r="AL48" i="3"/>
  <c r="AL191" i="3" s="1"/>
  <c r="AL40" i="3"/>
  <c r="AL183" i="3" s="1"/>
  <c r="AL47" i="3"/>
  <c r="AL190" i="3" s="1"/>
  <c r="AL43" i="3"/>
  <c r="AL186" i="3" s="1"/>
  <c r="AL24" i="3"/>
  <c r="AL167" i="3" s="1"/>
  <c r="AL34" i="3"/>
  <c r="AL177" i="3" s="1"/>
  <c r="AL23" i="3"/>
  <c r="AL166" i="3" s="1"/>
  <c r="AL30" i="3"/>
  <c r="AL173" i="3" s="1"/>
  <c r="AL21" i="3"/>
  <c r="AL164" i="3" s="1"/>
  <c r="AL32" i="3"/>
  <c r="AL175" i="3" s="1"/>
  <c r="AL28" i="3"/>
  <c r="AL171" i="3" s="1"/>
  <c r="AL26" i="3"/>
  <c r="AL169" i="3" s="1"/>
  <c r="AL37" i="3"/>
  <c r="AL180" i="3" s="1"/>
  <c r="AL39" i="3"/>
  <c r="AL182" i="3" s="1"/>
  <c r="AL33" i="3"/>
  <c r="AL176" i="3" s="1"/>
  <c r="AL25" i="3"/>
  <c r="AL168" i="3" s="1"/>
  <c r="AL38" i="3"/>
  <c r="AL181" i="3" s="1"/>
  <c r="AL19" i="3"/>
  <c r="AL162" i="3" s="1"/>
  <c r="AL22" i="3"/>
  <c r="AL165" i="3" s="1"/>
  <c r="AL36" i="3"/>
  <c r="AL179" i="3" s="1"/>
  <c r="AL29" i="3"/>
  <c r="AL172" i="3" s="1"/>
  <c r="AL20" i="3"/>
  <c r="AL163" i="3" s="1"/>
  <c r="AL31" i="3"/>
  <c r="AL174" i="3" s="1"/>
  <c r="AL27" i="3"/>
  <c r="AL170" i="3" s="1"/>
  <c r="AM5" i="3"/>
  <c r="S223" i="3"/>
  <c r="AL5" i="1"/>
  <c r="T222" i="3"/>
  <c r="T30" i="1" s="1"/>
  <c r="T80" i="3"/>
  <c r="I17" i="4"/>
  <c r="K24" i="4" l="1"/>
  <c r="Y9" i="6"/>
  <c r="AJ71" i="1"/>
  <c r="AM7" i="6"/>
  <c r="AL37" i="6"/>
  <c r="AL35" i="6"/>
  <c r="AJ60" i="6"/>
  <c r="AH58" i="1" s="1"/>
  <c r="AJ48" i="6"/>
  <c r="AH49" i="1" s="1"/>
  <c r="AK8" i="1"/>
  <c r="AL8" i="6"/>
  <c r="K79" i="6"/>
  <c r="Q79" i="6"/>
  <c r="O59" i="1" s="1"/>
  <c r="K60" i="6"/>
  <c r="Q60" i="6"/>
  <c r="O58" i="1" s="1"/>
  <c r="AK147" i="3"/>
  <c r="AL79" i="3"/>
  <c r="AL74" i="3" s="1"/>
  <c r="AK11" i="1"/>
  <c r="AM10" i="6" s="1"/>
  <c r="AK220" i="3"/>
  <c r="J30" i="4"/>
  <c r="T42" i="1"/>
  <c r="AL78" i="3"/>
  <c r="AM140" i="3"/>
  <c r="AM118" i="3"/>
  <c r="AM137" i="3"/>
  <c r="AM55" i="3"/>
  <c r="AM198" i="3" s="1"/>
  <c r="AM67" i="3"/>
  <c r="AM210" i="3" s="1"/>
  <c r="AM139" i="3"/>
  <c r="AM123" i="3"/>
  <c r="AM63" i="3"/>
  <c r="AM206" i="3" s="1"/>
  <c r="AM71" i="3"/>
  <c r="AM214" i="3" s="1"/>
  <c r="AM56" i="3"/>
  <c r="AM199" i="3" s="1"/>
  <c r="AM66" i="3"/>
  <c r="AM209" i="3" s="1"/>
  <c r="AM70" i="3"/>
  <c r="AM213" i="3" s="1"/>
  <c r="AM58" i="3"/>
  <c r="AM201" i="3" s="1"/>
  <c r="AM61" i="3"/>
  <c r="AM204" i="3" s="1"/>
  <c r="AM124" i="3"/>
  <c r="AM127" i="3"/>
  <c r="AM54" i="3"/>
  <c r="AM197" i="3" s="1"/>
  <c r="AM60" i="3"/>
  <c r="AM203" i="3" s="1"/>
  <c r="AM59" i="3"/>
  <c r="AM202" i="3" s="1"/>
  <c r="AM72" i="3"/>
  <c r="AM215" i="3" s="1"/>
  <c r="AM64" i="3"/>
  <c r="AM207" i="3" s="1"/>
  <c r="AM69" i="3"/>
  <c r="AM212" i="3" s="1"/>
  <c r="AM57" i="3"/>
  <c r="AM200" i="3" s="1"/>
  <c r="AM62" i="3"/>
  <c r="AM205" i="3" s="1"/>
  <c r="AM65" i="3"/>
  <c r="AM208" i="3" s="1"/>
  <c r="AM68" i="3"/>
  <c r="AM211" i="3" s="1"/>
  <c r="AM53" i="3"/>
  <c r="AM196" i="3" s="1"/>
  <c r="AM126" i="3"/>
  <c r="AM136" i="3"/>
  <c r="AM129" i="3"/>
  <c r="AM122" i="3"/>
  <c r="AM121" i="3"/>
  <c r="AM132" i="3"/>
  <c r="AM128" i="3"/>
  <c r="AM125" i="3"/>
  <c r="AM134" i="3"/>
  <c r="AM131" i="3"/>
  <c r="AM133" i="3"/>
  <c r="AM130" i="3"/>
  <c r="AM135" i="3"/>
  <c r="AM119" i="3"/>
  <c r="AM138" i="3"/>
  <c r="AM51" i="3"/>
  <c r="AM194" i="3" s="1"/>
  <c r="AM50" i="3"/>
  <c r="AM193" i="3" s="1"/>
  <c r="AK146" i="3"/>
  <c r="AM237" i="3"/>
  <c r="AM96" i="3"/>
  <c r="AM88" i="3"/>
  <c r="AM106" i="3"/>
  <c r="AM92" i="3"/>
  <c r="AM101" i="3"/>
  <c r="AM93" i="3"/>
  <c r="AM97" i="3"/>
  <c r="AM87" i="3"/>
  <c r="AM100" i="3"/>
  <c r="AM102" i="3"/>
  <c r="AM107" i="3"/>
  <c r="AM89" i="3"/>
  <c r="AM94" i="3"/>
  <c r="AM104" i="3"/>
  <c r="AM108" i="3"/>
  <c r="AM98" i="3"/>
  <c r="AM90" i="3"/>
  <c r="AM91" i="3"/>
  <c r="AM95" i="3"/>
  <c r="AM99" i="3"/>
  <c r="AM105" i="3"/>
  <c r="AM109" i="3"/>
  <c r="AM110" i="3"/>
  <c r="AM111" i="3"/>
  <c r="AM112" i="3"/>
  <c r="AM113" i="3"/>
  <c r="AM114" i="3"/>
  <c r="AM115" i="3"/>
  <c r="AM116" i="3"/>
  <c r="AM117" i="3"/>
  <c r="K35" i="4"/>
  <c r="AL7" i="1"/>
  <c r="AN7" i="6" s="1"/>
  <c r="X234" i="3"/>
  <c r="AK218" i="3"/>
  <c r="AK221" i="3" s="1"/>
  <c r="AK29" i="1" s="1"/>
  <c r="T82" i="3"/>
  <c r="T18" i="1" s="1"/>
  <c r="T152" i="3"/>
  <c r="AM12" i="3"/>
  <c r="AL232" i="3"/>
  <c r="AL22" i="1" s="1"/>
  <c r="P22" i="4" s="1"/>
  <c r="AL192" i="3"/>
  <c r="AM48" i="3"/>
  <c r="AM191" i="3" s="1"/>
  <c r="AM45" i="3"/>
  <c r="AM188" i="3" s="1"/>
  <c r="AM47" i="3"/>
  <c r="AM190" i="3" s="1"/>
  <c r="AM44" i="3"/>
  <c r="AM187" i="3" s="1"/>
  <c r="AM46" i="3"/>
  <c r="AM189" i="3" s="1"/>
  <c r="AM40" i="3"/>
  <c r="AM183" i="3" s="1"/>
  <c r="AM41" i="3"/>
  <c r="AM184" i="3" s="1"/>
  <c r="AM42" i="3"/>
  <c r="AM185" i="3" s="1"/>
  <c r="AM49" i="3"/>
  <c r="AM43" i="3"/>
  <c r="AM186" i="3" s="1"/>
  <c r="AM29" i="3"/>
  <c r="AM172" i="3" s="1"/>
  <c r="AM22" i="3"/>
  <c r="AM165" i="3" s="1"/>
  <c r="AM21" i="3"/>
  <c r="AM164" i="3" s="1"/>
  <c r="AM23" i="3"/>
  <c r="AM166" i="3" s="1"/>
  <c r="AM19" i="3"/>
  <c r="AM162" i="3" s="1"/>
  <c r="AM32" i="3"/>
  <c r="AM175" i="3" s="1"/>
  <c r="AM24" i="3"/>
  <c r="AM167" i="3" s="1"/>
  <c r="AM33" i="3"/>
  <c r="AM176" i="3" s="1"/>
  <c r="AM25" i="3"/>
  <c r="AM168" i="3" s="1"/>
  <c r="AM38" i="3"/>
  <c r="AM181" i="3" s="1"/>
  <c r="AM26" i="3"/>
  <c r="AM169" i="3" s="1"/>
  <c r="AM34" i="3"/>
  <c r="AM177" i="3" s="1"/>
  <c r="AM27" i="3"/>
  <c r="AM170" i="3" s="1"/>
  <c r="AM37" i="3"/>
  <c r="AM180" i="3" s="1"/>
  <c r="AM39" i="3"/>
  <c r="AM182" i="3" s="1"/>
  <c r="AM30" i="3"/>
  <c r="AM173" i="3" s="1"/>
  <c r="AM28" i="3"/>
  <c r="AM171" i="3" s="1"/>
  <c r="AM31" i="3"/>
  <c r="AM174" i="3" s="1"/>
  <c r="AM36" i="3"/>
  <c r="AM179" i="3" s="1"/>
  <c r="AM20" i="3"/>
  <c r="AM163" i="3" s="1"/>
  <c r="U80" i="3"/>
  <c r="U222" i="3"/>
  <c r="U30" i="1" s="1"/>
  <c r="U42" i="1" s="1"/>
  <c r="AM5" i="1"/>
  <c r="AN5" i="3"/>
  <c r="AN50" i="6" l="1"/>
  <c r="AN57" i="6"/>
  <c r="AN55" i="6"/>
  <c r="AN53" i="6"/>
  <c r="AM57" i="6"/>
  <c r="AM50" i="6"/>
  <c r="AM53" i="6"/>
  <c r="AM55" i="6"/>
  <c r="Y67" i="6"/>
  <c r="Y66" i="6"/>
  <c r="AM35" i="6"/>
  <c r="AM37" i="6"/>
  <c r="AL8" i="1"/>
  <c r="AM8" i="6"/>
  <c r="AK60" i="6"/>
  <c r="AI58" i="1" s="1"/>
  <c r="AK48" i="6"/>
  <c r="AI49" i="1" s="1"/>
  <c r="AL147" i="3"/>
  <c r="AM79" i="3"/>
  <c r="AM74" i="3" s="1"/>
  <c r="T43" i="1"/>
  <c r="J41" i="4"/>
  <c r="U43" i="1"/>
  <c r="AL11" i="1"/>
  <c r="AN10" i="6" s="1"/>
  <c r="AL220" i="3"/>
  <c r="AM78" i="3"/>
  <c r="AN139" i="3"/>
  <c r="AN140" i="3"/>
  <c r="AN54" i="3"/>
  <c r="AN197" i="3" s="1"/>
  <c r="AN71" i="3"/>
  <c r="AN214" i="3" s="1"/>
  <c r="AN123" i="3"/>
  <c r="AN118" i="3"/>
  <c r="AN125" i="3"/>
  <c r="AN70" i="3"/>
  <c r="AN213" i="3" s="1"/>
  <c r="AN130" i="3"/>
  <c r="AN62" i="3"/>
  <c r="AN205" i="3" s="1"/>
  <c r="AN63" i="3"/>
  <c r="AN206" i="3" s="1"/>
  <c r="AN67" i="3"/>
  <c r="AN210" i="3" s="1"/>
  <c r="AN56" i="3"/>
  <c r="AN199" i="3" s="1"/>
  <c r="AN55" i="3"/>
  <c r="AN198" i="3" s="1"/>
  <c r="AN60" i="3"/>
  <c r="AN203" i="3" s="1"/>
  <c r="AN66" i="3"/>
  <c r="AN209" i="3" s="1"/>
  <c r="AN64" i="3"/>
  <c r="AN207" i="3" s="1"/>
  <c r="AN58" i="3"/>
  <c r="AN201" i="3" s="1"/>
  <c r="AN72" i="3"/>
  <c r="AN215" i="3" s="1"/>
  <c r="AN69" i="3"/>
  <c r="AN212" i="3" s="1"/>
  <c r="AN57" i="3"/>
  <c r="AN200" i="3" s="1"/>
  <c r="AN61" i="3"/>
  <c r="AN204" i="3" s="1"/>
  <c r="AN59" i="3"/>
  <c r="AN202" i="3" s="1"/>
  <c r="AN68" i="3"/>
  <c r="AN211" i="3" s="1"/>
  <c r="AN65" i="3"/>
  <c r="AN208" i="3" s="1"/>
  <c r="AN53" i="3"/>
  <c r="AN196" i="3" s="1"/>
  <c r="AN129" i="3"/>
  <c r="AN131" i="3"/>
  <c r="AN124" i="3"/>
  <c r="AN127" i="3"/>
  <c r="AN134" i="3"/>
  <c r="AN122" i="3"/>
  <c r="AN136" i="3"/>
  <c r="AN133" i="3"/>
  <c r="AN126" i="3"/>
  <c r="AN121" i="3"/>
  <c r="AN135" i="3"/>
  <c r="AN138" i="3"/>
  <c r="AN132" i="3"/>
  <c r="AN128" i="3"/>
  <c r="AN137" i="3"/>
  <c r="AN119" i="3"/>
  <c r="AN50" i="3"/>
  <c r="AN193" i="3" s="1"/>
  <c r="AN51" i="3"/>
  <c r="AN194" i="3" s="1"/>
  <c r="AN237" i="3"/>
  <c r="AN93" i="3"/>
  <c r="AN106" i="3"/>
  <c r="AN96" i="3"/>
  <c r="AN97" i="3"/>
  <c r="AN101" i="3"/>
  <c r="AN100" i="3"/>
  <c r="AN88" i="3"/>
  <c r="AN91" i="3"/>
  <c r="AN104" i="3"/>
  <c r="AN92" i="3"/>
  <c r="AN87" i="3"/>
  <c r="AN108" i="3"/>
  <c r="AN102" i="3"/>
  <c r="AN98" i="3"/>
  <c r="AN94" i="3"/>
  <c r="AN89" i="3"/>
  <c r="AN107" i="3"/>
  <c r="AN90" i="3"/>
  <c r="AN105" i="3"/>
  <c r="AN99" i="3"/>
  <c r="AN95" i="3"/>
  <c r="AN109" i="3"/>
  <c r="AN110" i="3"/>
  <c r="AN111" i="3"/>
  <c r="AN112" i="3"/>
  <c r="AN113" i="3"/>
  <c r="AN114" i="3"/>
  <c r="AN115" i="3"/>
  <c r="AN116" i="3"/>
  <c r="AN117" i="3"/>
  <c r="AL218" i="3"/>
  <c r="AL221" i="3" s="1"/>
  <c r="AL29" i="1" s="1"/>
  <c r="P29" i="4" s="1"/>
  <c r="AL146" i="3"/>
  <c r="Y233" i="3"/>
  <c r="Y23" i="1" s="1"/>
  <c r="Y231" i="3"/>
  <c r="X24" i="1"/>
  <c r="Z9" i="6" s="1"/>
  <c r="AM7" i="1"/>
  <c r="AO7" i="6" s="1"/>
  <c r="X239" i="3"/>
  <c r="X35" i="1" s="1"/>
  <c r="AK71" i="1"/>
  <c r="P7" i="4"/>
  <c r="P8" i="4" s="1"/>
  <c r="U82" i="3"/>
  <c r="U18" i="1" s="1"/>
  <c r="U152" i="3"/>
  <c r="AN12" i="3"/>
  <c r="AM232" i="3"/>
  <c r="AM22" i="1" s="1"/>
  <c r="AM192" i="3"/>
  <c r="AN45" i="3"/>
  <c r="AN188" i="3" s="1"/>
  <c r="AN41" i="3"/>
  <c r="AN184" i="3" s="1"/>
  <c r="AN42" i="3"/>
  <c r="AN185" i="3" s="1"/>
  <c r="AN48" i="3"/>
  <c r="AN191" i="3" s="1"/>
  <c r="AN47" i="3"/>
  <c r="AN190" i="3" s="1"/>
  <c r="AN49" i="3"/>
  <c r="AN44" i="3"/>
  <c r="AN187" i="3" s="1"/>
  <c r="AN46" i="3"/>
  <c r="AN189" i="3" s="1"/>
  <c r="AN40" i="3"/>
  <c r="AN183" i="3" s="1"/>
  <c r="AN43" i="3"/>
  <c r="AN186" i="3" s="1"/>
  <c r="AN31" i="3"/>
  <c r="AN174" i="3" s="1"/>
  <c r="AN33" i="3"/>
  <c r="AN176" i="3" s="1"/>
  <c r="AN29" i="3"/>
  <c r="AN172" i="3" s="1"/>
  <c r="AN26" i="3"/>
  <c r="AN169" i="3" s="1"/>
  <c r="AN20" i="3"/>
  <c r="AN163" i="3" s="1"/>
  <c r="AN30" i="3"/>
  <c r="AN173" i="3" s="1"/>
  <c r="AN39" i="3"/>
  <c r="AN182" i="3" s="1"/>
  <c r="AN25" i="3"/>
  <c r="AN168" i="3" s="1"/>
  <c r="AN34" i="3"/>
  <c r="AN177" i="3" s="1"/>
  <c r="AN38" i="3"/>
  <c r="AN181" i="3" s="1"/>
  <c r="AN37" i="3"/>
  <c r="AN180" i="3" s="1"/>
  <c r="AN19" i="3"/>
  <c r="AN162" i="3" s="1"/>
  <c r="AN32" i="3"/>
  <c r="AN175" i="3" s="1"/>
  <c r="AN27" i="3"/>
  <c r="AN170" i="3" s="1"/>
  <c r="AN22" i="3"/>
  <c r="AN165" i="3" s="1"/>
  <c r="AN28" i="3"/>
  <c r="AN171" i="3" s="1"/>
  <c r="AN36" i="3"/>
  <c r="AN179" i="3" s="1"/>
  <c r="AN24" i="3"/>
  <c r="AN167" i="3" s="1"/>
  <c r="AN23" i="3"/>
  <c r="AN166" i="3" s="1"/>
  <c r="AN21" i="3"/>
  <c r="AN164" i="3" s="1"/>
  <c r="AO5" i="3"/>
  <c r="AN5" i="1"/>
  <c r="V80" i="3"/>
  <c r="V222" i="3"/>
  <c r="V30" i="1" s="1"/>
  <c r="V42" i="1" s="1"/>
  <c r="V43" i="1" s="1"/>
  <c r="Z67" i="6" l="1"/>
  <c r="Z66" i="6"/>
  <c r="Y79" i="6"/>
  <c r="W59" i="1" s="1"/>
  <c r="Y64" i="6"/>
  <c r="W50" i="1" s="1"/>
  <c r="AN35" i="6"/>
  <c r="AN37" i="6"/>
  <c r="AO50" i="6"/>
  <c r="AO53" i="6"/>
  <c r="AO55" i="6"/>
  <c r="AO57" i="6"/>
  <c r="AM8" i="1"/>
  <c r="AN8" i="6"/>
  <c r="AL60" i="6"/>
  <c r="AJ58" i="1" s="1"/>
  <c r="AL48" i="6"/>
  <c r="AJ49" i="1" s="1"/>
  <c r="AM147" i="3"/>
  <c r="AN79" i="3"/>
  <c r="AN74" i="3" s="1"/>
  <c r="J42" i="4"/>
  <c r="AM11" i="1"/>
  <c r="AO10" i="6" s="1"/>
  <c r="AM220" i="3"/>
  <c r="AN78" i="3"/>
  <c r="AO55" i="3"/>
  <c r="AO198" i="3" s="1"/>
  <c r="AO139" i="3"/>
  <c r="AO140" i="3"/>
  <c r="AO64" i="3"/>
  <c r="AO207" i="3" s="1"/>
  <c r="AO63" i="3"/>
  <c r="AO206" i="3" s="1"/>
  <c r="AO72" i="3"/>
  <c r="AO215" i="3" s="1"/>
  <c r="AO67" i="3"/>
  <c r="AO210" i="3" s="1"/>
  <c r="AO118" i="3"/>
  <c r="AO69" i="3"/>
  <c r="AO212" i="3" s="1"/>
  <c r="AO123" i="3"/>
  <c r="AO65" i="3"/>
  <c r="AO208" i="3" s="1"/>
  <c r="AO71" i="3"/>
  <c r="AO214" i="3" s="1"/>
  <c r="AO66" i="3"/>
  <c r="AO209" i="3" s="1"/>
  <c r="AO56" i="3"/>
  <c r="AO199" i="3" s="1"/>
  <c r="AO59" i="3"/>
  <c r="AO202" i="3" s="1"/>
  <c r="AO126" i="3"/>
  <c r="AO60" i="3"/>
  <c r="AO203" i="3" s="1"/>
  <c r="AO68" i="3"/>
  <c r="AO211" i="3" s="1"/>
  <c r="AO62" i="3"/>
  <c r="AO205" i="3" s="1"/>
  <c r="AO61" i="3"/>
  <c r="AO204" i="3" s="1"/>
  <c r="AO57" i="3"/>
  <c r="AO200" i="3" s="1"/>
  <c r="AO53" i="3"/>
  <c r="AO196" i="3" s="1"/>
  <c r="AO54" i="3"/>
  <c r="AO197" i="3" s="1"/>
  <c r="AO58" i="3"/>
  <c r="AO201" i="3" s="1"/>
  <c r="AO70" i="3"/>
  <c r="AO213" i="3" s="1"/>
  <c r="AO124" i="3"/>
  <c r="AO127" i="3"/>
  <c r="AO119" i="3"/>
  <c r="AO131" i="3"/>
  <c r="AO122" i="3"/>
  <c r="AO136" i="3"/>
  <c r="AO133" i="3"/>
  <c r="AO135" i="3"/>
  <c r="AO132" i="3"/>
  <c r="AO137" i="3"/>
  <c r="AO128" i="3"/>
  <c r="AO125" i="3"/>
  <c r="AO134" i="3"/>
  <c r="AO129" i="3"/>
  <c r="AO121" i="3"/>
  <c r="AO130" i="3"/>
  <c r="AO138" i="3"/>
  <c r="AO50" i="3"/>
  <c r="AO193" i="3" s="1"/>
  <c r="AO51" i="3"/>
  <c r="AO194" i="3" s="1"/>
  <c r="AO237" i="3"/>
  <c r="AO106" i="3"/>
  <c r="AO96" i="3"/>
  <c r="AO88" i="3"/>
  <c r="AO93" i="3"/>
  <c r="AO100" i="3"/>
  <c r="AO92" i="3"/>
  <c r="AO101" i="3"/>
  <c r="AO108" i="3"/>
  <c r="AO97" i="3"/>
  <c r="AO89" i="3"/>
  <c r="AO87" i="3"/>
  <c r="AO91" i="3"/>
  <c r="AO102" i="3"/>
  <c r="AO94" i="3"/>
  <c r="AO90" i="3"/>
  <c r="AO107" i="3"/>
  <c r="AO104" i="3"/>
  <c r="AO98" i="3"/>
  <c r="AO95" i="3"/>
  <c r="AO99" i="3"/>
  <c r="AO105" i="3"/>
  <c r="AO110" i="3"/>
  <c r="AO109" i="3"/>
  <c r="AO111" i="3"/>
  <c r="AO112" i="3"/>
  <c r="AO113" i="3"/>
  <c r="AO114" i="3"/>
  <c r="AO115" i="3"/>
  <c r="AO116" i="3"/>
  <c r="AO117" i="3"/>
  <c r="P10" i="4"/>
  <c r="AM146" i="3"/>
  <c r="AM218" i="3"/>
  <c r="AM221" i="3" s="1"/>
  <c r="AM29" i="1" s="1"/>
  <c r="AN7" i="1"/>
  <c r="X36" i="1"/>
  <c r="Y234" i="3"/>
  <c r="AL71" i="1"/>
  <c r="P60" i="4" s="1"/>
  <c r="V82" i="3"/>
  <c r="V18" i="1" s="1"/>
  <c r="V152" i="3"/>
  <c r="AO12" i="3"/>
  <c r="AN232" i="3"/>
  <c r="AN22" i="1" s="1"/>
  <c r="J17" i="4"/>
  <c r="AN192" i="3"/>
  <c r="AO49" i="3"/>
  <c r="AO45" i="3"/>
  <c r="AO188" i="3" s="1"/>
  <c r="AO41" i="3"/>
  <c r="AO184" i="3" s="1"/>
  <c r="AO42" i="3"/>
  <c r="AO185" i="3" s="1"/>
  <c r="AO47" i="3"/>
  <c r="AO190" i="3" s="1"/>
  <c r="AO48" i="3"/>
  <c r="AO191" i="3" s="1"/>
  <c r="AO40" i="3"/>
  <c r="AO183" i="3" s="1"/>
  <c r="AO46" i="3"/>
  <c r="AO189" i="3" s="1"/>
  <c r="AO43" i="3"/>
  <c r="AO186" i="3" s="1"/>
  <c r="AO44" i="3"/>
  <c r="AO187" i="3" s="1"/>
  <c r="AO29" i="3"/>
  <c r="AO172" i="3" s="1"/>
  <c r="AO27" i="3"/>
  <c r="AO170" i="3" s="1"/>
  <c r="AO30" i="3"/>
  <c r="AO173" i="3" s="1"/>
  <c r="AO22" i="3"/>
  <c r="AO165" i="3" s="1"/>
  <c r="AO25" i="3"/>
  <c r="AO168" i="3" s="1"/>
  <c r="AO38" i="3"/>
  <c r="AO181" i="3" s="1"/>
  <c r="AO26" i="3"/>
  <c r="AO169" i="3" s="1"/>
  <c r="AO21" i="3"/>
  <c r="AO164" i="3" s="1"/>
  <c r="AO37" i="3"/>
  <c r="AO180" i="3" s="1"/>
  <c r="AO28" i="3"/>
  <c r="AO171" i="3" s="1"/>
  <c r="AO31" i="3"/>
  <c r="AO174" i="3" s="1"/>
  <c r="AO20" i="3"/>
  <c r="AO163" i="3" s="1"/>
  <c r="AO23" i="3"/>
  <c r="AO166" i="3" s="1"/>
  <c r="AO34" i="3"/>
  <c r="AO177" i="3" s="1"/>
  <c r="AO32" i="3"/>
  <c r="AO175" i="3" s="1"/>
  <c r="AO36" i="3"/>
  <c r="AO179" i="3" s="1"/>
  <c r="AO33" i="3"/>
  <c r="AO176" i="3" s="1"/>
  <c r="AO39" i="3"/>
  <c r="AO182" i="3" s="1"/>
  <c r="AO24" i="3"/>
  <c r="AO167" i="3" s="1"/>
  <c r="AO19" i="3"/>
  <c r="AO162" i="3" s="1"/>
  <c r="W80" i="3"/>
  <c r="W222" i="3"/>
  <c r="W30" i="1" s="1"/>
  <c r="AO5" i="1"/>
  <c r="AP5" i="3"/>
  <c r="AM71" i="1" l="1"/>
  <c r="AP7" i="6"/>
  <c r="AO35" i="6"/>
  <c r="AO37" i="6"/>
  <c r="Z64" i="6"/>
  <c r="X50" i="1" s="1"/>
  <c r="Z79" i="6"/>
  <c r="X59" i="1" s="1"/>
  <c r="AN8" i="1"/>
  <c r="AO8" i="6"/>
  <c r="AM60" i="6"/>
  <c r="AK58" i="1" s="1"/>
  <c r="AM48" i="6"/>
  <c r="AK49" i="1" s="1"/>
  <c r="AN147" i="3"/>
  <c r="AO79" i="3"/>
  <c r="AO74" i="3" s="1"/>
  <c r="AN11" i="1"/>
  <c r="AP10" i="6" s="1"/>
  <c r="AN220" i="3"/>
  <c r="K30" i="4"/>
  <c r="W42" i="1"/>
  <c r="AO78" i="3"/>
  <c r="AP54" i="3"/>
  <c r="AP197" i="3" s="1"/>
  <c r="AP140" i="3"/>
  <c r="AP72" i="3"/>
  <c r="AP215" i="3" s="1"/>
  <c r="AP139" i="3"/>
  <c r="AP118" i="3"/>
  <c r="AP137" i="3"/>
  <c r="AP130" i="3"/>
  <c r="AP126" i="3"/>
  <c r="AP133" i="3"/>
  <c r="AP124" i="3"/>
  <c r="AP119" i="3"/>
  <c r="AP60" i="3"/>
  <c r="AP203" i="3" s="1"/>
  <c r="AP131" i="3"/>
  <c r="AP121" i="3"/>
  <c r="AP55" i="3"/>
  <c r="AP198" i="3" s="1"/>
  <c r="AP63" i="3"/>
  <c r="AP206" i="3" s="1"/>
  <c r="AP125" i="3"/>
  <c r="AP66" i="3"/>
  <c r="AP209" i="3" s="1"/>
  <c r="AP70" i="3"/>
  <c r="AP213" i="3" s="1"/>
  <c r="AP69" i="3"/>
  <c r="AP212" i="3" s="1"/>
  <c r="AP64" i="3"/>
  <c r="AP207" i="3" s="1"/>
  <c r="AP68" i="3"/>
  <c r="AP211" i="3" s="1"/>
  <c r="AP61" i="3"/>
  <c r="AP204" i="3" s="1"/>
  <c r="AP56" i="3"/>
  <c r="AP199" i="3" s="1"/>
  <c r="AP65" i="3"/>
  <c r="AP208" i="3" s="1"/>
  <c r="AP123" i="3"/>
  <c r="AP67" i="3"/>
  <c r="AP210" i="3" s="1"/>
  <c r="AP59" i="3"/>
  <c r="AP202" i="3" s="1"/>
  <c r="AP71" i="3"/>
  <c r="AP214" i="3" s="1"/>
  <c r="AP57" i="3"/>
  <c r="AP200" i="3" s="1"/>
  <c r="AP62" i="3"/>
  <c r="AP205" i="3" s="1"/>
  <c r="AP58" i="3"/>
  <c r="AP201" i="3" s="1"/>
  <c r="AP53" i="3"/>
  <c r="AP196" i="3" s="1"/>
  <c r="AP135" i="3"/>
  <c r="AP134" i="3"/>
  <c r="AP122" i="3"/>
  <c r="AP127" i="3"/>
  <c r="AP129" i="3"/>
  <c r="AP136" i="3"/>
  <c r="AP132" i="3"/>
  <c r="AP138" i="3"/>
  <c r="AP128" i="3"/>
  <c r="AN146" i="3"/>
  <c r="AP51" i="3"/>
  <c r="AP194" i="3" s="1"/>
  <c r="AP50" i="3"/>
  <c r="AP193" i="3" s="1"/>
  <c r="AP237" i="3"/>
  <c r="AP106" i="3"/>
  <c r="AP87" i="3"/>
  <c r="AP101" i="3"/>
  <c r="AP93" i="3"/>
  <c r="AP96" i="3"/>
  <c r="AP88" i="3"/>
  <c r="AP92" i="3"/>
  <c r="AP97" i="3"/>
  <c r="AP89" i="3"/>
  <c r="AP91" i="3"/>
  <c r="AP94" i="3"/>
  <c r="AP100" i="3"/>
  <c r="AP104" i="3"/>
  <c r="AP98" i="3"/>
  <c r="AP90" i="3"/>
  <c r="AP107" i="3"/>
  <c r="AP108" i="3"/>
  <c r="AP102" i="3"/>
  <c r="AP105" i="3"/>
  <c r="AP99" i="3"/>
  <c r="AP95" i="3"/>
  <c r="AP110" i="3"/>
  <c r="AP109" i="3"/>
  <c r="AP111" i="3"/>
  <c r="AP112" i="3"/>
  <c r="AP113" i="3"/>
  <c r="AP114" i="3"/>
  <c r="AP115" i="3"/>
  <c r="AP116" i="3"/>
  <c r="AP117" i="3"/>
  <c r="Y24" i="1"/>
  <c r="AA9" i="6" s="1"/>
  <c r="Z231" i="3"/>
  <c r="Z233" i="3"/>
  <c r="Z23" i="1" s="1"/>
  <c r="L23" i="4" s="1"/>
  <c r="AO7" i="1"/>
  <c r="AQ7" i="6" s="1"/>
  <c r="Y239" i="3"/>
  <c r="Y35" i="1" s="1"/>
  <c r="AN218" i="3"/>
  <c r="AN221" i="3" s="1"/>
  <c r="AN29" i="1" s="1"/>
  <c r="W82" i="3"/>
  <c r="W18" i="1" s="1"/>
  <c r="W152" i="3"/>
  <c r="AP12" i="3"/>
  <c r="AP79" i="3" s="1"/>
  <c r="AP74" i="3" s="1"/>
  <c r="AO232" i="3"/>
  <c r="AO22" i="1" s="1"/>
  <c r="Q22" i="4" s="1"/>
  <c r="AO192" i="3"/>
  <c r="AP40" i="3"/>
  <c r="AP183" i="3" s="1"/>
  <c r="AP47" i="3"/>
  <c r="AP190" i="3" s="1"/>
  <c r="AP42" i="3"/>
  <c r="AP185" i="3" s="1"/>
  <c r="AP48" i="3"/>
  <c r="AP191" i="3" s="1"/>
  <c r="AP46" i="3"/>
  <c r="AP189" i="3" s="1"/>
  <c r="AP44" i="3"/>
  <c r="AP187" i="3" s="1"/>
  <c r="AP45" i="3"/>
  <c r="AP188" i="3" s="1"/>
  <c r="AP41" i="3"/>
  <c r="AP184" i="3" s="1"/>
  <c r="AP49" i="3"/>
  <c r="AP43" i="3"/>
  <c r="AP186" i="3" s="1"/>
  <c r="AP22" i="3"/>
  <c r="AP165" i="3" s="1"/>
  <c r="AP28" i="3"/>
  <c r="AP171" i="3" s="1"/>
  <c r="AP34" i="3"/>
  <c r="AP177" i="3" s="1"/>
  <c r="AP21" i="3"/>
  <c r="AP164" i="3" s="1"/>
  <c r="AP39" i="3"/>
  <c r="AP182" i="3" s="1"/>
  <c r="AP20" i="3"/>
  <c r="AP163" i="3" s="1"/>
  <c r="AP29" i="3"/>
  <c r="AP172" i="3" s="1"/>
  <c r="AP32" i="3"/>
  <c r="AP175" i="3" s="1"/>
  <c r="AP25" i="3"/>
  <c r="AP168" i="3" s="1"/>
  <c r="AP33" i="3"/>
  <c r="AP176" i="3" s="1"/>
  <c r="AP31" i="3"/>
  <c r="AP174" i="3" s="1"/>
  <c r="AP37" i="3"/>
  <c r="AP180" i="3" s="1"/>
  <c r="AP24" i="3"/>
  <c r="AP167" i="3" s="1"/>
  <c r="AP26" i="3"/>
  <c r="AP169" i="3" s="1"/>
  <c r="AP36" i="3"/>
  <c r="AP179" i="3" s="1"/>
  <c r="AP27" i="3"/>
  <c r="AP170" i="3" s="1"/>
  <c r="AP23" i="3"/>
  <c r="AP166" i="3" s="1"/>
  <c r="AP30" i="3"/>
  <c r="AP173" i="3" s="1"/>
  <c r="AP19" i="3"/>
  <c r="AP162" i="3" s="1"/>
  <c r="AP38" i="3"/>
  <c r="AP181" i="3" s="1"/>
  <c r="K48" i="6"/>
  <c r="I49" i="1" s="1"/>
  <c r="K33" i="6"/>
  <c r="I48" i="1" s="1"/>
  <c r="X222" i="3"/>
  <c r="X30" i="1" s="1"/>
  <c r="X42" i="1" s="1"/>
  <c r="X80" i="3"/>
  <c r="AQ5" i="3"/>
  <c r="AA67" i="6" l="1"/>
  <c r="AA66" i="6"/>
  <c r="AP50" i="6"/>
  <c r="AP53" i="6"/>
  <c r="AP57" i="6"/>
  <c r="AP55" i="6"/>
  <c r="AQ57" i="6"/>
  <c r="AQ50" i="6"/>
  <c r="AQ53" i="6"/>
  <c r="AQ55" i="6"/>
  <c r="AP37" i="6"/>
  <c r="AP35" i="6"/>
  <c r="AO8" i="1"/>
  <c r="AQ8" i="6" s="1"/>
  <c r="AP8" i="6"/>
  <c r="AN48" i="6"/>
  <c r="AL49" i="1" s="1"/>
  <c r="AN60" i="6"/>
  <c r="AL58" i="1" s="1"/>
  <c r="R60" i="6"/>
  <c r="P58" i="1" s="1"/>
  <c r="R79" i="6"/>
  <c r="P59" i="1" s="1"/>
  <c r="AO147" i="3"/>
  <c r="F23" i="2"/>
  <c r="G23" i="2"/>
  <c r="H23" i="2"/>
  <c r="W43" i="1"/>
  <c r="K41" i="4"/>
  <c r="X43" i="1"/>
  <c r="AO11" i="1"/>
  <c r="AQ10" i="6" s="1"/>
  <c r="AO220" i="3"/>
  <c r="AP218" i="3"/>
  <c r="AP147" i="3"/>
  <c r="AP78" i="3"/>
  <c r="AQ140" i="3"/>
  <c r="AQ139" i="3"/>
  <c r="AQ53" i="3"/>
  <c r="AQ196" i="3" s="1"/>
  <c r="AQ122" i="3"/>
  <c r="AQ118" i="3"/>
  <c r="AQ67" i="3"/>
  <c r="AQ210" i="3" s="1"/>
  <c r="AQ54" i="3"/>
  <c r="AQ197" i="3" s="1"/>
  <c r="AQ58" i="3"/>
  <c r="AQ201" i="3" s="1"/>
  <c r="AQ68" i="3"/>
  <c r="AQ211" i="3" s="1"/>
  <c r="AQ123" i="3"/>
  <c r="AQ60" i="3"/>
  <c r="AQ203" i="3" s="1"/>
  <c r="AQ56" i="3"/>
  <c r="AQ199" i="3" s="1"/>
  <c r="AQ59" i="3"/>
  <c r="AQ202" i="3" s="1"/>
  <c r="AQ55" i="3"/>
  <c r="AQ198" i="3" s="1"/>
  <c r="AQ126" i="3"/>
  <c r="AQ127" i="3"/>
  <c r="AQ69" i="3"/>
  <c r="AQ212" i="3" s="1"/>
  <c r="AQ63" i="3"/>
  <c r="AQ206" i="3" s="1"/>
  <c r="AQ70" i="3"/>
  <c r="AQ213" i="3" s="1"/>
  <c r="AQ62" i="3"/>
  <c r="AQ205" i="3" s="1"/>
  <c r="AQ125" i="3"/>
  <c r="AQ71" i="3"/>
  <c r="AQ214" i="3" s="1"/>
  <c r="AQ72" i="3"/>
  <c r="AQ215" i="3" s="1"/>
  <c r="AQ65" i="3"/>
  <c r="AQ208" i="3" s="1"/>
  <c r="AQ64" i="3"/>
  <c r="AQ207" i="3" s="1"/>
  <c r="AQ61" i="3"/>
  <c r="AQ204" i="3" s="1"/>
  <c r="AQ57" i="3"/>
  <c r="AQ200" i="3" s="1"/>
  <c r="AQ124" i="3"/>
  <c r="AQ66" i="3"/>
  <c r="AQ209" i="3" s="1"/>
  <c r="AQ128" i="3"/>
  <c r="AQ121" i="3"/>
  <c r="AQ134" i="3"/>
  <c r="AQ133" i="3"/>
  <c r="AQ135" i="3"/>
  <c r="AQ131" i="3"/>
  <c r="AQ136" i="3"/>
  <c r="AQ138" i="3"/>
  <c r="AQ119" i="3"/>
  <c r="AQ137" i="3"/>
  <c r="AQ129" i="3"/>
  <c r="AQ130" i="3"/>
  <c r="AQ132" i="3"/>
  <c r="AQ50" i="3"/>
  <c r="AQ193" i="3" s="1"/>
  <c r="AQ51" i="3"/>
  <c r="AQ194" i="3" s="1"/>
  <c r="AQ237" i="3"/>
  <c r="AQ101" i="3"/>
  <c r="AQ93" i="3"/>
  <c r="AQ97" i="3"/>
  <c r="AQ100" i="3"/>
  <c r="AQ96" i="3"/>
  <c r="AQ88" i="3"/>
  <c r="AQ92" i="3"/>
  <c r="AQ106" i="3"/>
  <c r="AQ87" i="3"/>
  <c r="AQ104" i="3"/>
  <c r="AQ108" i="3"/>
  <c r="AQ98" i="3"/>
  <c r="AQ94" i="3"/>
  <c r="AQ89" i="3"/>
  <c r="AQ107" i="3"/>
  <c r="AQ91" i="3"/>
  <c r="AQ102" i="3"/>
  <c r="AQ90" i="3"/>
  <c r="AQ99" i="3"/>
  <c r="AQ105" i="3"/>
  <c r="AQ95" i="3"/>
  <c r="AQ110" i="3"/>
  <c r="AQ109" i="3"/>
  <c r="AQ111" i="3"/>
  <c r="AQ112" i="3"/>
  <c r="AQ113" i="3"/>
  <c r="AQ114" i="3"/>
  <c r="AQ115" i="3"/>
  <c r="AQ116" i="3"/>
  <c r="AQ117" i="3"/>
  <c r="Q10" i="4"/>
  <c r="H11" i="2" s="1"/>
  <c r="AO146" i="3"/>
  <c r="AN71" i="1"/>
  <c r="AP7" i="1"/>
  <c r="AO71" i="1" s="1"/>
  <c r="Q7" i="4"/>
  <c r="Q8" i="4" s="1"/>
  <c r="Z234" i="3"/>
  <c r="Z239" i="3" s="1"/>
  <c r="Z35" i="1" s="1"/>
  <c r="Z36" i="1" s="1"/>
  <c r="Y36" i="1"/>
  <c r="X82" i="3"/>
  <c r="X18" i="1" s="1"/>
  <c r="X152" i="3"/>
  <c r="AQ12" i="3"/>
  <c r="AQ79" i="3" s="1"/>
  <c r="AQ74" i="3" s="1"/>
  <c r="AP232" i="3"/>
  <c r="AP192" i="3"/>
  <c r="AQ41" i="3"/>
  <c r="AQ184" i="3" s="1"/>
  <c r="AQ48" i="3"/>
  <c r="AQ191" i="3" s="1"/>
  <c r="AQ44" i="3"/>
  <c r="AQ187" i="3" s="1"/>
  <c r="AQ43" i="3"/>
  <c r="AQ186" i="3" s="1"/>
  <c r="AQ46" i="3"/>
  <c r="AQ189" i="3" s="1"/>
  <c r="AQ40" i="3"/>
  <c r="AQ183" i="3" s="1"/>
  <c r="AQ49" i="3"/>
  <c r="AQ192" i="3" s="1"/>
  <c r="AQ47" i="3"/>
  <c r="AQ190" i="3" s="1"/>
  <c r="AQ45" i="3"/>
  <c r="AQ188" i="3" s="1"/>
  <c r="AQ42" i="3"/>
  <c r="AQ185" i="3" s="1"/>
  <c r="AQ39" i="3"/>
  <c r="AQ182" i="3" s="1"/>
  <c r="AQ26" i="3"/>
  <c r="AQ169" i="3" s="1"/>
  <c r="AQ34" i="3"/>
  <c r="AQ177" i="3" s="1"/>
  <c r="AQ29" i="3"/>
  <c r="AQ172" i="3" s="1"/>
  <c r="AQ24" i="3"/>
  <c r="AQ167" i="3" s="1"/>
  <c r="AQ32" i="3"/>
  <c r="AQ175" i="3" s="1"/>
  <c r="AQ22" i="3"/>
  <c r="AQ165" i="3" s="1"/>
  <c r="AQ30" i="3"/>
  <c r="AQ173" i="3" s="1"/>
  <c r="AQ28" i="3"/>
  <c r="AQ171" i="3" s="1"/>
  <c r="AQ23" i="3"/>
  <c r="AQ166" i="3" s="1"/>
  <c r="AQ19" i="3"/>
  <c r="AQ162" i="3" s="1"/>
  <c r="AQ37" i="3"/>
  <c r="AQ180" i="3" s="1"/>
  <c r="AQ20" i="3"/>
  <c r="AQ163" i="3" s="1"/>
  <c r="AQ31" i="3"/>
  <c r="AQ174" i="3" s="1"/>
  <c r="AQ38" i="3"/>
  <c r="AQ181" i="3" s="1"/>
  <c r="AQ36" i="3"/>
  <c r="AQ179" i="3" s="1"/>
  <c r="AQ25" i="3"/>
  <c r="AQ168" i="3" s="1"/>
  <c r="AQ21" i="3"/>
  <c r="AQ164" i="3" s="1"/>
  <c r="AQ33" i="3"/>
  <c r="AQ176" i="3" s="1"/>
  <c r="AQ27" i="3"/>
  <c r="AQ170" i="3" s="1"/>
  <c r="Y80" i="3"/>
  <c r="Y222" i="3"/>
  <c r="Y30" i="1" s="1"/>
  <c r="Y42" i="1" s="1"/>
  <c r="Y43" i="1" s="1"/>
  <c r="AQ35" i="6" l="1"/>
  <c r="AQ37" i="6"/>
  <c r="AA64" i="6"/>
  <c r="Y50" i="1" s="1"/>
  <c r="AA79" i="6"/>
  <c r="Y59" i="1" s="1"/>
  <c r="AO48" i="6"/>
  <c r="AM49" i="1" s="1"/>
  <c r="AO60" i="6"/>
  <c r="AM58" i="1" s="1"/>
  <c r="AQ60" i="6"/>
  <c r="AO58" i="1" s="1"/>
  <c r="AQ48" i="6"/>
  <c r="AO49" i="1" s="1"/>
  <c r="K42" i="4"/>
  <c r="AP146" i="3"/>
  <c r="AP220" i="3"/>
  <c r="AQ147" i="3"/>
  <c r="AQ78" i="3"/>
  <c r="Q60" i="4"/>
  <c r="H67" i="2" s="1"/>
  <c r="AO218" i="3"/>
  <c r="AO221" i="3" s="1"/>
  <c r="AO29" i="1" s="1"/>
  <c r="Q29" i="4" s="1"/>
  <c r="H30" i="2" s="1"/>
  <c r="Z24" i="1"/>
  <c r="AA231" i="3"/>
  <c r="AA233" i="3"/>
  <c r="AA23" i="1" s="1"/>
  <c r="L34" i="4"/>
  <c r="F7" i="2"/>
  <c r="G7" i="2"/>
  <c r="G3" i="2" s="1"/>
  <c r="H7" i="2"/>
  <c r="I46" i="4"/>
  <c r="Y82" i="3"/>
  <c r="Y18" i="1" s="1"/>
  <c r="Y152" i="3"/>
  <c r="AQ232" i="3"/>
  <c r="AP221" i="3"/>
  <c r="K17" i="4"/>
  <c r="Z222" i="3"/>
  <c r="Z30" i="1" s="1"/>
  <c r="Z80" i="3"/>
  <c r="L24" i="4" l="1"/>
  <c r="AB9" i="6"/>
  <c r="AP60" i="6"/>
  <c r="AN58" i="1" s="1"/>
  <c r="AP48" i="6"/>
  <c r="AN49" i="1" s="1"/>
  <c r="F83" i="2"/>
  <c r="F8" i="2"/>
  <c r="G8" i="2" s="1"/>
  <c r="H8" i="2" s="1"/>
  <c r="H83" i="2"/>
  <c r="G83" i="2"/>
  <c r="AQ146" i="3"/>
  <c r="AQ220" i="3"/>
  <c r="L30" i="4"/>
  <c r="Z42" i="1"/>
  <c r="AA234" i="3"/>
  <c r="AA239" i="3" s="1"/>
  <c r="AA35" i="1" s="1"/>
  <c r="L35" i="4"/>
  <c r="AQ218" i="3"/>
  <c r="AQ221" i="3" s="1"/>
  <c r="Z82" i="3"/>
  <c r="Z18" i="1" s="1"/>
  <c r="Z152" i="3"/>
  <c r="L33" i="6"/>
  <c r="J48" i="1" s="1"/>
  <c r="L48" i="6"/>
  <c r="J49" i="1" s="1"/>
  <c r="AA222" i="3"/>
  <c r="AA30" i="1" s="1"/>
  <c r="AA42" i="1" s="1"/>
  <c r="AA80" i="3"/>
  <c r="H64" i="6"/>
  <c r="F50" i="1" s="1"/>
  <c r="F52" i="1" s="1"/>
  <c r="AB66" i="6" l="1"/>
  <c r="AB67" i="6"/>
  <c r="S60" i="6"/>
  <c r="Q58" i="1" s="1"/>
  <c r="I47" i="4" s="1"/>
  <c r="S79" i="6"/>
  <c r="Q59" i="1" s="1"/>
  <c r="AA43" i="1"/>
  <c r="Z43" i="1"/>
  <c r="L41" i="4"/>
  <c r="AA36" i="1"/>
  <c r="AA24" i="1"/>
  <c r="AC9" i="6" s="1"/>
  <c r="AB233" i="3"/>
  <c r="AB23" i="1" s="1"/>
  <c r="AB231" i="3"/>
  <c r="AA82" i="3"/>
  <c r="AA18" i="1" s="1"/>
  <c r="AA152" i="3"/>
  <c r="AB222" i="3"/>
  <c r="AB30" i="1" s="1"/>
  <c r="AB42" i="1" s="1"/>
  <c r="AB43" i="1" s="1"/>
  <c r="AB80" i="3"/>
  <c r="AC67" i="6" l="1"/>
  <c r="AC66" i="6"/>
  <c r="AB64" i="6"/>
  <c r="Z50" i="1" s="1"/>
  <c r="AB79" i="6"/>
  <c r="Z59" i="1" s="1"/>
  <c r="L42" i="4"/>
  <c r="AB234" i="3"/>
  <c r="AB239" i="3" s="1"/>
  <c r="AB35" i="1" s="1"/>
  <c r="J47" i="4"/>
  <c r="F48" i="4"/>
  <c r="AB82" i="3"/>
  <c r="AB18" i="1" s="1"/>
  <c r="AB152" i="3"/>
  <c r="L17" i="4"/>
  <c r="AC222" i="3"/>
  <c r="AC30" i="1" s="1"/>
  <c r="AC80" i="3"/>
  <c r="H63" i="1"/>
  <c r="H66" i="1"/>
  <c r="H78" i="1" s="1"/>
  <c r="G66" i="1"/>
  <c r="G78" i="1" s="1"/>
  <c r="G63" i="1"/>
  <c r="F66" i="1"/>
  <c r="F78" i="1" s="1"/>
  <c r="F63" i="1"/>
  <c r="AC79" i="6" l="1"/>
  <c r="AA59" i="1" s="1"/>
  <c r="AC64" i="6"/>
  <c r="AA50" i="1" s="1"/>
  <c r="G80" i="1"/>
  <c r="H80" i="1"/>
  <c r="M30" i="4"/>
  <c r="AC42" i="1"/>
  <c r="F55" i="4"/>
  <c r="F67" i="4" s="1"/>
  <c r="AB36" i="1"/>
  <c r="AC231" i="3"/>
  <c r="AB24" i="1"/>
  <c r="AD9" i="6" s="1"/>
  <c r="AC233" i="3"/>
  <c r="AC23" i="1" s="1"/>
  <c r="M23" i="4" s="1"/>
  <c r="AC82" i="3"/>
  <c r="AC18" i="1" s="1"/>
  <c r="AC152" i="3"/>
  <c r="M48" i="6"/>
  <c r="K49" i="1" s="1"/>
  <c r="M33" i="6"/>
  <c r="K48" i="1" s="1"/>
  <c r="AD222" i="3"/>
  <c r="AD30" i="1" s="1"/>
  <c r="AD42" i="1" s="1"/>
  <c r="AD80" i="3"/>
  <c r="I64" i="6"/>
  <c r="G50" i="1" s="1"/>
  <c r="G52" i="1" s="1"/>
  <c r="F80" i="1"/>
  <c r="F52" i="4"/>
  <c r="AD67" i="6" l="1"/>
  <c r="AD66" i="6"/>
  <c r="F70" i="4"/>
  <c r="AD43" i="1"/>
  <c r="AC43" i="1"/>
  <c r="M41" i="4"/>
  <c r="AC234" i="3"/>
  <c r="AC239" i="3" s="1"/>
  <c r="AC35" i="1" s="1"/>
  <c r="AD82" i="3"/>
  <c r="AD18" i="1" s="1"/>
  <c r="AD152" i="3"/>
  <c r="F81" i="1"/>
  <c r="G81" i="1" s="1"/>
  <c r="H81" i="1" s="1"/>
  <c r="AD223" i="3"/>
  <c r="AE222" i="3"/>
  <c r="AE30" i="1" s="1"/>
  <c r="AE42" i="1" s="1"/>
  <c r="AE43" i="1" s="1"/>
  <c r="AE80" i="3"/>
  <c r="AD79" i="6" l="1"/>
  <c r="AB59" i="1" s="1"/>
  <c r="AD64" i="6"/>
  <c r="AB50" i="1" s="1"/>
  <c r="M42" i="4"/>
  <c r="G46" i="2"/>
  <c r="G47" i="2" s="1"/>
  <c r="AC24" i="1"/>
  <c r="AD231" i="3"/>
  <c r="AD233" i="3"/>
  <c r="AD23" i="1" s="1"/>
  <c r="AC36" i="1"/>
  <c r="M34" i="4"/>
  <c r="F71" i="4"/>
  <c r="K47" i="4"/>
  <c r="G48" i="4"/>
  <c r="AE82" i="3"/>
  <c r="AE18" i="1" s="1"/>
  <c r="AE152" i="3"/>
  <c r="M17" i="4"/>
  <c r="AF222" i="3"/>
  <c r="AF30" i="1" s="1"/>
  <c r="AF80" i="3"/>
  <c r="AE223" i="3"/>
  <c r="K63" i="1"/>
  <c r="K66" i="1"/>
  <c r="K78" i="1" s="1"/>
  <c r="J66" i="1"/>
  <c r="J78" i="1" s="1"/>
  <c r="J63" i="1"/>
  <c r="I66" i="1"/>
  <c r="I63" i="1"/>
  <c r="M24" i="4" l="1"/>
  <c r="G25" i="2" s="1"/>
  <c r="G84" i="2" s="1"/>
  <c r="AE9" i="6"/>
  <c r="J80" i="1"/>
  <c r="N30" i="4"/>
  <c r="AF42" i="1"/>
  <c r="G55" i="4"/>
  <c r="G67" i="4" s="1"/>
  <c r="AD234" i="3"/>
  <c r="AD239" i="3" s="1"/>
  <c r="AD35" i="1" s="1"/>
  <c r="M35" i="4"/>
  <c r="G38" i="2"/>
  <c r="G24" i="2"/>
  <c r="AF82" i="3"/>
  <c r="AF18" i="1" s="1"/>
  <c r="AF152" i="3"/>
  <c r="N48" i="6"/>
  <c r="L49" i="1" s="1"/>
  <c r="N33" i="6"/>
  <c r="L48" i="1" s="1"/>
  <c r="I78" i="1"/>
  <c r="G18" i="2"/>
  <c r="G52" i="4"/>
  <c r="AF223" i="3"/>
  <c r="AG80" i="3"/>
  <c r="AG222" i="3"/>
  <c r="AG30" i="1" s="1"/>
  <c r="AG42" i="1" s="1"/>
  <c r="AE67" i="6" l="1"/>
  <c r="AE66" i="6"/>
  <c r="G70" i="4"/>
  <c r="AG43" i="1"/>
  <c r="AF43" i="1"/>
  <c r="N41" i="4"/>
  <c r="G39" i="2"/>
  <c r="G88" i="2"/>
  <c r="AD36" i="1"/>
  <c r="AD24" i="1"/>
  <c r="AF9" i="6" s="1"/>
  <c r="AE233" i="3"/>
  <c r="AE23" i="1" s="1"/>
  <c r="AE231" i="3"/>
  <c r="AG82" i="3"/>
  <c r="AG18" i="1" s="1"/>
  <c r="AG152" i="3"/>
  <c r="AH80" i="3"/>
  <c r="AH222" i="3"/>
  <c r="AH30" i="1" s="1"/>
  <c r="AH42" i="1" s="1"/>
  <c r="AH43" i="1" s="1"/>
  <c r="AG223" i="3"/>
  <c r="AE79" i="6" l="1"/>
  <c r="AC59" i="1" s="1"/>
  <c r="AE64" i="6"/>
  <c r="AC50" i="1" s="1"/>
  <c r="AF66" i="6"/>
  <c r="AF67" i="6"/>
  <c r="N42" i="4"/>
  <c r="G71" i="4"/>
  <c r="L47" i="4"/>
  <c r="AE234" i="3"/>
  <c r="AE239" i="3" s="1"/>
  <c r="AE35" i="1" s="1"/>
  <c r="AH82" i="3"/>
  <c r="AH18" i="1" s="1"/>
  <c r="AH152" i="3"/>
  <c r="AH223" i="3"/>
  <c r="N17" i="4"/>
  <c r="AI80" i="3"/>
  <c r="AI222" i="3"/>
  <c r="AI30" i="1" s="1"/>
  <c r="AF79" i="6" l="1"/>
  <c r="AD59" i="1" s="1"/>
  <c r="AF64" i="6"/>
  <c r="AD50" i="1" s="1"/>
  <c r="O30" i="4"/>
  <c r="AI42" i="1"/>
  <c r="AE36" i="1"/>
  <c r="AE24" i="1"/>
  <c r="AG9" i="6" s="1"/>
  <c r="AF231" i="3"/>
  <c r="AF233" i="3"/>
  <c r="AF23" i="1" s="1"/>
  <c r="N23" i="4" s="1"/>
  <c r="AI82" i="3"/>
  <c r="AI18" i="1" s="1"/>
  <c r="AI152" i="3"/>
  <c r="O48" i="6"/>
  <c r="M49" i="1" s="1"/>
  <c r="O33" i="6"/>
  <c r="M48" i="1" s="1"/>
  <c r="K64" i="6"/>
  <c r="I50" i="1" s="1"/>
  <c r="I52" i="1" s="1"/>
  <c r="AJ222" i="3"/>
  <c r="AJ30" i="1" s="1"/>
  <c r="AJ42" i="1" s="1"/>
  <c r="AJ80" i="3"/>
  <c r="AI223" i="3"/>
  <c r="AG67" i="6" l="1"/>
  <c r="AG66" i="6"/>
  <c r="AJ43" i="1"/>
  <c r="AI43" i="1"/>
  <c r="O41" i="4"/>
  <c r="AF234" i="3"/>
  <c r="AJ82" i="3"/>
  <c r="AJ18" i="1" s="1"/>
  <c r="AJ152" i="3"/>
  <c r="AK80" i="3"/>
  <c r="AK222" i="3"/>
  <c r="AK30" i="1" s="1"/>
  <c r="AK42" i="1" s="1"/>
  <c r="AK43" i="1" s="1"/>
  <c r="AJ223" i="3"/>
  <c r="AG64" i="6" l="1"/>
  <c r="AE50" i="1" s="1"/>
  <c r="AG79" i="6"/>
  <c r="AE59" i="1" s="1"/>
  <c r="O42" i="4"/>
  <c r="I48" i="4"/>
  <c r="M47" i="4"/>
  <c r="AF239" i="3"/>
  <c r="AF35" i="1" s="1"/>
  <c r="AG231" i="3"/>
  <c r="AG233" i="3"/>
  <c r="AG23" i="1" s="1"/>
  <c r="AF24" i="1"/>
  <c r="AK82" i="3"/>
  <c r="AK18" i="1" s="1"/>
  <c r="AK152" i="3"/>
  <c r="P63" i="1"/>
  <c r="P66" i="1"/>
  <c r="Q66" i="1"/>
  <c r="AL80" i="3"/>
  <c r="AL222" i="3"/>
  <c r="AL30" i="1" s="1"/>
  <c r="AK223" i="3"/>
  <c r="O66" i="1"/>
  <c r="O63" i="1"/>
  <c r="O17" i="4"/>
  <c r="N24" i="4" l="1"/>
  <c r="AH9" i="6"/>
  <c r="P30" i="4"/>
  <c r="AL42" i="1"/>
  <c r="I55" i="4"/>
  <c r="AG234" i="3"/>
  <c r="AF36" i="1"/>
  <c r="N34" i="4"/>
  <c r="AL82" i="3"/>
  <c r="AL18" i="1" s="1"/>
  <c r="AL152" i="3"/>
  <c r="P48" i="6"/>
  <c r="N49" i="1" s="1"/>
  <c r="P33" i="6"/>
  <c r="N48" i="1" s="1"/>
  <c r="AL223" i="3"/>
  <c r="L64" i="6"/>
  <c r="J50" i="1" s="1"/>
  <c r="J52" i="1" s="1"/>
  <c r="AM80" i="3"/>
  <c r="AM222" i="3"/>
  <c r="AM30" i="1" s="1"/>
  <c r="AM42" i="1" s="1"/>
  <c r="AH67" i="6" l="1"/>
  <c r="AH66" i="6"/>
  <c r="AL43" i="1"/>
  <c r="P41" i="4"/>
  <c r="AM43" i="1"/>
  <c r="N35" i="4"/>
  <c r="AH231" i="3"/>
  <c r="AH233" i="3"/>
  <c r="AH23" i="1" s="1"/>
  <c r="AG24" i="1"/>
  <c r="AI9" i="6" s="1"/>
  <c r="AG239" i="3"/>
  <c r="AG35" i="1" s="1"/>
  <c r="AM82" i="3"/>
  <c r="AM18" i="1" s="1"/>
  <c r="AM152" i="3"/>
  <c r="AN80" i="3"/>
  <c r="AN222" i="3"/>
  <c r="AN30" i="1" s="1"/>
  <c r="AN42" i="1" s="1"/>
  <c r="AN43" i="1" s="1"/>
  <c r="AM223" i="3"/>
  <c r="AH79" i="6" l="1"/>
  <c r="AF59" i="1" s="1"/>
  <c r="AH64" i="6"/>
  <c r="AF50" i="1" s="1"/>
  <c r="AI67" i="6"/>
  <c r="AI66" i="6"/>
  <c r="P42" i="4"/>
  <c r="J48" i="4"/>
  <c r="AG36" i="1"/>
  <c r="AH234" i="3"/>
  <c r="AH239" i="3" s="1"/>
  <c r="AH35" i="1" s="1"/>
  <c r="AH36" i="1" s="1"/>
  <c r="N47" i="4"/>
  <c r="AN82" i="3"/>
  <c r="AN18" i="1" s="1"/>
  <c r="AN152" i="3"/>
  <c r="AN223" i="3"/>
  <c r="P17" i="4"/>
  <c r="AO80" i="3"/>
  <c r="AO222" i="3"/>
  <c r="AO30" i="1" s="1"/>
  <c r="AI79" i="6" l="1"/>
  <c r="AG59" i="1" s="1"/>
  <c r="AI64" i="6"/>
  <c r="AG50" i="1" s="1"/>
  <c r="Q30" i="4"/>
  <c r="H31" i="2" s="1"/>
  <c r="AO42" i="1"/>
  <c r="G31" i="2"/>
  <c r="AH24" i="1"/>
  <c r="AJ9" i="6" s="1"/>
  <c r="AI231" i="3"/>
  <c r="AI233" i="3"/>
  <c r="AI23" i="1" s="1"/>
  <c r="O23" i="4" s="1"/>
  <c r="AO82" i="3"/>
  <c r="AO18" i="1" s="1"/>
  <c r="AO152" i="3"/>
  <c r="Q48" i="6"/>
  <c r="O49" i="1" s="1"/>
  <c r="Q33" i="6"/>
  <c r="O48" i="1" s="1"/>
  <c r="M64" i="6"/>
  <c r="K50" i="1" s="1"/>
  <c r="K52" i="1" s="1"/>
  <c r="AP80" i="3"/>
  <c r="AP222" i="3"/>
  <c r="AO223" i="3"/>
  <c r="AJ66" i="6" l="1"/>
  <c r="AJ67" i="6"/>
  <c r="AO43" i="1"/>
  <c r="Q41" i="4"/>
  <c r="AI234" i="3"/>
  <c r="AI239" i="3" s="1"/>
  <c r="AI35" i="1" s="1"/>
  <c r="AP82" i="3"/>
  <c r="AP152" i="3"/>
  <c r="AQ222" i="3"/>
  <c r="AQ80" i="3"/>
  <c r="AP223" i="3"/>
  <c r="AJ64" i="6" l="1"/>
  <c r="AH50" i="1" s="1"/>
  <c r="AJ79" i="6"/>
  <c r="AH59" i="1" s="1"/>
  <c r="Q42" i="4"/>
  <c r="H46" i="2"/>
  <c r="H47" i="2" s="1"/>
  <c r="K48" i="4"/>
  <c r="AI36" i="1"/>
  <c r="O34" i="4"/>
  <c r="AI24" i="1"/>
  <c r="AJ231" i="3"/>
  <c r="AJ233" i="3"/>
  <c r="AJ23" i="1" s="1"/>
  <c r="O47" i="4"/>
  <c r="AQ82" i="3"/>
  <c r="AQ152" i="3"/>
  <c r="Q17" i="4"/>
  <c r="AQ223" i="3"/>
  <c r="O24" i="4" l="1"/>
  <c r="AK9" i="6"/>
  <c r="AJ234" i="3"/>
  <c r="AJ239" i="3" s="1"/>
  <c r="AJ35" i="1" s="1"/>
  <c r="O35" i="4"/>
  <c r="R33" i="6"/>
  <c r="P48" i="1" s="1"/>
  <c r="R48" i="6"/>
  <c r="P49" i="1" s="1"/>
  <c r="N64" i="6"/>
  <c r="L50" i="1" s="1"/>
  <c r="H18" i="2"/>
  <c r="H85" i="2" s="1"/>
  <c r="AK67" i="6" l="1"/>
  <c r="AK66" i="6"/>
  <c r="AJ36" i="1"/>
  <c r="AK231" i="3"/>
  <c r="AK233" i="3"/>
  <c r="AK23" i="1" s="1"/>
  <c r="AJ24" i="1"/>
  <c r="AL9" i="6" s="1"/>
  <c r="AK79" i="6" l="1"/>
  <c r="AI59" i="1" s="1"/>
  <c r="AK64" i="6"/>
  <c r="AI50" i="1" s="1"/>
  <c r="AL67" i="6"/>
  <c r="AL66" i="6"/>
  <c r="L48" i="4"/>
  <c r="AK234" i="3"/>
  <c r="AK239" i="3" s="1"/>
  <c r="AK35" i="1" s="1"/>
  <c r="P47" i="4"/>
  <c r="AL79" i="6" l="1"/>
  <c r="AJ59" i="1" s="1"/>
  <c r="AL64" i="6"/>
  <c r="AJ50" i="1" s="1"/>
  <c r="AK36" i="1"/>
  <c r="AL231" i="3"/>
  <c r="AK24" i="1"/>
  <c r="AM9" i="6" s="1"/>
  <c r="AL233" i="3"/>
  <c r="AL23" i="1" s="1"/>
  <c r="P23" i="4" s="1"/>
  <c r="S48" i="6"/>
  <c r="Q49" i="1" s="1"/>
  <c r="S33" i="6"/>
  <c r="Q48" i="1" s="1"/>
  <c r="O64" i="6"/>
  <c r="M50" i="1" s="1"/>
  <c r="AM67" i="6" l="1"/>
  <c r="AM66" i="6"/>
  <c r="AL234" i="3"/>
  <c r="P64" i="6"/>
  <c r="N50" i="1" s="1"/>
  <c r="AM79" i="6" l="1"/>
  <c r="AK59" i="1" s="1"/>
  <c r="AM64" i="6"/>
  <c r="AK50" i="1" s="1"/>
  <c r="M48" i="4"/>
  <c r="AL239" i="3"/>
  <c r="AL35" i="1" s="1"/>
  <c r="AM231" i="3"/>
  <c r="AM233" i="3"/>
  <c r="AM23" i="1" s="1"/>
  <c r="AL24" i="1"/>
  <c r="Q47" i="4"/>
  <c r="H53" i="2" s="1"/>
  <c r="G53" i="2"/>
  <c r="Q64" i="6"/>
  <c r="O50" i="1" s="1"/>
  <c r="O52" i="1" s="1"/>
  <c r="P24" i="4" l="1"/>
  <c r="AN9" i="6"/>
  <c r="N48" i="4"/>
  <c r="AM234" i="3"/>
  <c r="AL36" i="1"/>
  <c r="P34" i="4"/>
  <c r="R64" i="6"/>
  <c r="P50" i="1" s="1"/>
  <c r="P52" i="1" s="1"/>
  <c r="AN66" i="6" l="1"/>
  <c r="AN67" i="6"/>
  <c r="O48" i="4"/>
  <c r="AM24" i="1"/>
  <c r="AO9" i="6" s="1"/>
  <c r="AN233" i="3"/>
  <c r="AN23" i="1" s="1"/>
  <c r="AN231" i="3"/>
  <c r="P35" i="4"/>
  <c r="AM239" i="3"/>
  <c r="AM35" i="1" s="1"/>
  <c r="S64" i="6"/>
  <c r="Q50" i="1" s="1"/>
  <c r="Q52" i="1" s="1"/>
  <c r="AO67" i="6" l="1"/>
  <c r="AO66" i="6"/>
  <c r="AN64" i="6"/>
  <c r="AL50" i="1" s="1"/>
  <c r="AN79" i="6"/>
  <c r="AL59" i="1" s="1"/>
  <c r="P48" i="4"/>
  <c r="AM36" i="1"/>
  <c r="AN234" i="3"/>
  <c r="AO79" i="6" l="1"/>
  <c r="AM59" i="1" s="1"/>
  <c r="AO64" i="6"/>
  <c r="AM50" i="1" s="1"/>
  <c r="AO233" i="3"/>
  <c r="AO23" i="1" s="1"/>
  <c r="Q23" i="4" s="1"/>
  <c r="H24" i="2" s="1"/>
  <c r="AN24" i="1"/>
  <c r="AP9" i="6" s="1"/>
  <c r="AO231" i="3"/>
  <c r="AN239" i="3"/>
  <c r="AN35" i="1" s="1"/>
  <c r="G54" i="2"/>
  <c r="AP67" i="6" l="1"/>
  <c r="AP66" i="6"/>
  <c r="AO234" i="3"/>
  <c r="AO239" i="3" s="1"/>
  <c r="AO35" i="1" s="1"/>
  <c r="AN36" i="1"/>
  <c r="AP79" i="6" l="1"/>
  <c r="AN59" i="1" s="1"/>
  <c r="AP64" i="6"/>
  <c r="AN50" i="1" s="1"/>
  <c r="AO36" i="1"/>
  <c r="Q34" i="4"/>
  <c r="F38" i="2" s="1"/>
  <c r="AP233" i="3"/>
  <c r="AO24" i="1"/>
  <c r="AP231" i="3"/>
  <c r="Q24" i="4" l="1"/>
  <c r="H25" i="2" s="1"/>
  <c r="H84" i="2" s="1"/>
  <c r="AQ9" i="6"/>
  <c r="F88" i="2"/>
  <c r="F39" i="2"/>
  <c r="AP234" i="3"/>
  <c r="AP239" i="3" s="1"/>
  <c r="Q35" i="4"/>
  <c r="H38" i="2"/>
  <c r="H39" i="2" s="1"/>
  <c r="AQ67" i="6" l="1"/>
  <c r="AQ66" i="6"/>
  <c r="H88" i="2"/>
  <c r="AQ233" i="3"/>
  <c r="AQ231" i="3"/>
  <c r="AQ79" i="6" l="1"/>
  <c r="AO59" i="1" s="1"/>
  <c r="Q48" i="4" s="1"/>
  <c r="H54" i="2" s="1"/>
  <c r="AQ64" i="6"/>
  <c r="AO50" i="1" s="1"/>
  <c r="AQ234" i="3"/>
  <c r="AQ239" i="3" s="1"/>
  <c r="V223" i="3" l="1"/>
  <c r="W223" i="3" l="1"/>
  <c r="P223" i="3"/>
  <c r="Y223" i="3"/>
  <c r="AB223" i="3"/>
  <c r="AC223" i="3"/>
  <c r="M223" i="3"/>
  <c r="R223" i="3" l="1"/>
  <c r="T223" i="3"/>
  <c r="Z223" i="3"/>
  <c r="AA223" i="3"/>
  <c r="L32" i="1"/>
  <c r="I32" i="1"/>
  <c r="I80" i="1" s="1"/>
  <c r="K223" i="3"/>
  <c r="U223" i="3"/>
  <c r="X223" i="3"/>
  <c r="K32" i="1"/>
  <c r="K80" i="1" s="1"/>
  <c r="L38" i="1" l="1"/>
  <c r="K38" i="1"/>
  <c r="I38" i="1"/>
  <c r="I81" i="1"/>
  <c r="J81" i="1" s="1"/>
  <c r="K81" i="1" s="1"/>
  <c r="G40" i="2" l="1"/>
  <c r="H40" i="2"/>
  <c r="Y142" i="3"/>
  <c r="Y148" i="3" s="1"/>
  <c r="AE142" i="3"/>
  <c r="AE148" i="3" s="1"/>
  <c r="O142" i="3"/>
  <c r="O148" i="3"/>
  <c r="AQ142" i="3"/>
  <c r="AQ148" i="3" s="1"/>
  <c r="P142" i="3"/>
  <c r="P148" i="3" s="1"/>
  <c r="AH142" i="3"/>
  <c r="AA142" i="3"/>
  <c r="AA148" i="3" s="1"/>
  <c r="R142" i="3"/>
  <c r="R148" i="3" s="1"/>
  <c r="N80" i="3"/>
  <c r="N152" i="3" s="1"/>
  <c r="AN142" i="3"/>
  <c r="AL142" i="3"/>
  <c r="AL148" i="3" s="1"/>
  <c r="U142" i="3"/>
  <c r="U148" i="3" s="1"/>
  <c r="W142" i="3"/>
  <c r="W148" i="3" s="1"/>
  <c r="AB142" i="3"/>
  <c r="AB148" i="3" s="1"/>
  <c r="N142" i="3"/>
  <c r="AJ142" i="3"/>
  <c r="AJ148" i="3" s="1"/>
  <c r="AD142" i="3"/>
  <c r="AM142" i="3"/>
  <c r="X142" i="3"/>
  <c r="X148" i="3" s="1"/>
  <c r="N218" i="3"/>
  <c r="N221" i="3" s="1"/>
  <c r="AG142" i="3"/>
  <c r="AG148" i="3" s="1"/>
  <c r="S142" i="3"/>
  <c r="S148" i="3" s="1"/>
  <c r="V142" i="3"/>
  <c r="AP142" i="3"/>
  <c r="AP148" i="3" s="1"/>
  <c r="Q142" i="3"/>
  <c r="Q148" i="3" s="1"/>
  <c r="AK142" i="3"/>
  <c r="AK148" i="3" s="1"/>
  <c r="T142" i="3"/>
  <c r="AC142" i="3"/>
  <c r="AO142" i="3"/>
  <c r="AO148" i="3" s="1"/>
  <c r="Z142" i="3"/>
  <c r="AF142" i="3"/>
  <c r="AF148" i="3" s="1"/>
  <c r="AI142" i="3"/>
  <c r="N146" i="3"/>
  <c r="N222" i="3"/>
  <c r="N30" i="1" s="1"/>
  <c r="H30" i="4" l="1"/>
  <c r="F31" i="2" s="1"/>
  <c r="N42" i="1"/>
  <c r="AA153" i="3"/>
  <c r="AM153" i="3"/>
  <c r="AC153" i="3"/>
  <c r="T153" i="3"/>
  <c r="Z148" i="3"/>
  <c r="P153" i="3"/>
  <c r="AP153" i="3"/>
  <c r="AL153" i="3"/>
  <c r="V153" i="3"/>
  <c r="AM148" i="3"/>
  <c r="AF153" i="3"/>
  <c r="AJ153" i="3"/>
  <c r="S153" i="3"/>
  <c r="O153" i="3"/>
  <c r="N82" i="3"/>
  <c r="N18" i="1" s="1"/>
  <c r="H17" i="4" s="1"/>
  <c r="F18" i="2" s="1"/>
  <c r="AN153" i="3"/>
  <c r="T148" i="3"/>
  <c r="Q153" i="3"/>
  <c r="V148" i="3"/>
  <c r="AG153" i="3"/>
  <c r="X153" i="3"/>
  <c r="AD153" i="3"/>
  <c r="AH153" i="3"/>
  <c r="AE153" i="3"/>
  <c r="N29" i="1"/>
  <c r="N223" i="3"/>
  <c r="AI153" i="3"/>
  <c r="AD148" i="3"/>
  <c r="N148" i="3"/>
  <c r="N149" i="3" s="1"/>
  <c r="AB153" i="3"/>
  <c r="U153" i="3"/>
  <c r="AN148" i="3"/>
  <c r="R153" i="3"/>
  <c r="AH148" i="3"/>
  <c r="AQ153" i="3"/>
  <c r="AO153" i="3"/>
  <c r="AK153" i="3"/>
  <c r="W153" i="3"/>
  <c r="Y153" i="3"/>
  <c r="H10" i="4"/>
  <c r="AI148" i="3"/>
  <c r="Z153" i="3"/>
  <c r="AC148" i="3"/>
  <c r="N153" i="3"/>
  <c r="N154" i="3" s="1"/>
  <c r="N14" i="3" s="1"/>
  <c r="F85" i="2" l="1"/>
  <c r="G85" i="2"/>
  <c r="N43" i="1"/>
  <c r="H41" i="4"/>
  <c r="O145" i="3"/>
  <c r="O149" i="3" s="1"/>
  <c r="N12" i="1"/>
  <c r="H11" i="4" s="1"/>
  <c r="N157" i="3"/>
  <c r="N31" i="1" s="1"/>
  <c r="H31" i="4" s="1"/>
  <c r="O151" i="3"/>
  <c r="O154" i="3" s="1"/>
  <c r="O14" i="3" s="1"/>
  <c r="N20" i="1"/>
  <c r="N13" i="1"/>
  <c r="P11" i="6" s="1"/>
  <c r="F11" i="2"/>
  <c r="H29" i="4"/>
  <c r="H19" i="4" l="1"/>
  <c r="P12" i="6"/>
  <c r="H42" i="4"/>
  <c r="F46" i="2"/>
  <c r="F47" i="2" s="1"/>
  <c r="N32" i="1"/>
  <c r="N38" i="1" s="1"/>
  <c r="N14" i="1"/>
  <c r="M72" i="1" s="1"/>
  <c r="H12" i="4"/>
  <c r="H13" i="4" s="1"/>
  <c r="J60" i="6"/>
  <c r="O13" i="1"/>
  <c r="O157" i="3"/>
  <c r="O31" i="1" s="1"/>
  <c r="P151" i="3"/>
  <c r="P154" i="3" s="1"/>
  <c r="P14" i="3" s="1"/>
  <c r="O20" i="1"/>
  <c r="Q12" i="6" s="1"/>
  <c r="H32" i="4"/>
  <c r="H38" i="4" s="1"/>
  <c r="F30" i="2"/>
  <c r="O12" i="1"/>
  <c r="P145" i="3"/>
  <c r="P149" i="3" s="1"/>
  <c r="O14" i="1" l="1"/>
  <c r="N72" i="1" s="1"/>
  <c r="Q11" i="6"/>
  <c r="J79" i="6"/>
  <c r="J64" i="6"/>
  <c r="H50" i="1" s="1"/>
  <c r="H61" i="4"/>
  <c r="O32" i="1"/>
  <c r="J48" i="6"/>
  <c r="H49" i="1" s="1"/>
  <c r="Q151" i="3"/>
  <c r="Q154" i="3" s="1"/>
  <c r="Q14" i="3" s="1"/>
  <c r="P20" i="1"/>
  <c r="R12" i="6" s="1"/>
  <c r="P13" i="1"/>
  <c r="P157" i="3"/>
  <c r="P31" i="1" s="1"/>
  <c r="P32" i="1" s="1"/>
  <c r="Q145" i="3"/>
  <c r="Q149" i="3" s="1"/>
  <c r="P12" i="1"/>
  <c r="J33" i="6"/>
  <c r="H48" i="1" s="1"/>
  <c r="P14" i="1" l="1"/>
  <c r="O72" i="1" s="1"/>
  <c r="R11" i="6"/>
  <c r="H52" i="1"/>
  <c r="L52" i="1"/>
  <c r="P38" i="1"/>
  <c r="O38" i="1"/>
  <c r="Q13" i="1"/>
  <c r="S11" i="6" s="1"/>
  <c r="R151" i="3"/>
  <c r="R154" i="3" s="1"/>
  <c r="R14" i="3" s="1"/>
  <c r="Q157" i="3"/>
  <c r="Q31" i="1" s="1"/>
  <c r="Q20" i="1"/>
  <c r="Q12" i="1"/>
  <c r="I11" i="4" s="1"/>
  <c r="R145" i="3"/>
  <c r="R149" i="3" s="1"/>
  <c r="O78" i="1"/>
  <c r="O80" i="1" s="1"/>
  <c r="I19" i="4" l="1"/>
  <c r="F20" i="2" s="1"/>
  <c r="S12" i="6"/>
  <c r="H48" i="4"/>
  <c r="F54" i="2" s="1"/>
  <c r="H47" i="4"/>
  <c r="F53" i="2" s="1"/>
  <c r="H46" i="4"/>
  <c r="L66" i="1"/>
  <c r="L63" i="1"/>
  <c r="R12" i="1"/>
  <c r="S145" i="3"/>
  <c r="S149" i="3" s="1"/>
  <c r="S151" i="3"/>
  <c r="S154" i="3" s="1"/>
  <c r="S14" i="3" s="1"/>
  <c r="R157" i="3"/>
  <c r="R31" i="1" s="1"/>
  <c r="R20" i="1"/>
  <c r="T12" i="6" s="1"/>
  <c r="T86" i="6" s="1"/>
  <c r="R13" i="1"/>
  <c r="N63" i="1"/>
  <c r="N66" i="1"/>
  <c r="N78" i="1" s="1"/>
  <c r="F12" i="2"/>
  <c r="Q14" i="1"/>
  <c r="P72" i="1" s="1"/>
  <c r="I12" i="4"/>
  <c r="M63" i="1"/>
  <c r="M66" i="1"/>
  <c r="M78" i="1" s="1"/>
  <c r="Q32" i="1"/>
  <c r="I31" i="4"/>
  <c r="N52" i="1"/>
  <c r="M52" i="1"/>
  <c r="T83" i="6" l="1"/>
  <c r="R51" i="1" s="1"/>
  <c r="T89" i="6"/>
  <c r="R60" i="1" s="1"/>
  <c r="R14" i="1"/>
  <c r="Q72" i="1" s="1"/>
  <c r="Q78" i="1" s="1"/>
  <c r="T11" i="6"/>
  <c r="T40" i="6" s="1"/>
  <c r="N80" i="1"/>
  <c r="M80" i="1"/>
  <c r="I32" i="4"/>
  <c r="I38" i="4" s="1"/>
  <c r="F32" i="2"/>
  <c r="F34" i="2" s="1"/>
  <c r="F48" i="2" s="1"/>
  <c r="F13" i="2"/>
  <c r="F14" i="2" s="1"/>
  <c r="I13" i="4"/>
  <c r="R32" i="1"/>
  <c r="Q38" i="1"/>
  <c r="P78" i="1"/>
  <c r="P80" i="1" s="1"/>
  <c r="S157" i="3"/>
  <c r="S31" i="1" s="1"/>
  <c r="S32" i="1" s="1"/>
  <c r="S13" i="1"/>
  <c r="S20" i="1"/>
  <c r="U12" i="6" s="1"/>
  <c r="U86" i="6" s="1"/>
  <c r="T151" i="3"/>
  <c r="T154" i="3" s="1"/>
  <c r="T14" i="3" s="1"/>
  <c r="H55" i="4"/>
  <c r="L78" i="1"/>
  <c r="L80" i="1" s="1"/>
  <c r="T145" i="3"/>
  <c r="T149" i="3" s="1"/>
  <c r="S12" i="1"/>
  <c r="H52" i="4"/>
  <c r="F52" i="2"/>
  <c r="I61" i="4" l="1"/>
  <c r="F68" i="2" s="1"/>
  <c r="S14" i="1"/>
  <c r="R72" i="1" s="1"/>
  <c r="U11" i="6"/>
  <c r="U40" i="6" s="1"/>
  <c r="T43" i="6"/>
  <c r="R57" i="1" s="1"/>
  <c r="T33" i="6"/>
  <c r="R48" i="1" s="1"/>
  <c r="R52" i="1" s="1"/>
  <c r="U83" i="6"/>
  <c r="S51" i="1" s="1"/>
  <c r="U89" i="6"/>
  <c r="S60" i="1" s="1"/>
  <c r="L81" i="1"/>
  <c r="M81" i="1" s="1"/>
  <c r="N81" i="1" s="1"/>
  <c r="O81" i="1" s="1"/>
  <c r="P81" i="1" s="1"/>
  <c r="Q62" i="1"/>
  <c r="I51" i="4" s="1"/>
  <c r="F57" i="2" s="1"/>
  <c r="Q61" i="1"/>
  <c r="T157" i="3"/>
  <c r="T31" i="1" s="1"/>
  <c r="T20" i="1"/>
  <c r="U151" i="3"/>
  <c r="U154" i="3" s="1"/>
  <c r="U14" i="3" s="1"/>
  <c r="T13" i="1"/>
  <c r="V11" i="6" s="1"/>
  <c r="V40" i="6" s="1"/>
  <c r="U145" i="3"/>
  <c r="U149" i="3" s="1"/>
  <c r="T12" i="1"/>
  <c r="J11" i="4" s="1"/>
  <c r="I67" i="4"/>
  <c r="F89" i="2"/>
  <c r="F42" i="2"/>
  <c r="F62" i="2"/>
  <c r="H67" i="4"/>
  <c r="S38" i="1"/>
  <c r="R38" i="1"/>
  <c r="R63" i="1" l="1"/>
  <c r="R66" i="1"/>
  <c r="J19" i="4"/>
  <c r="V12" i="6"/>
  <c r="V86" i="6" s="1"/>
  <c r="U33" i="6"/>
  <c r="S48" i="1" s="1"/>
  <c r="S52" i="1" s="1"/>
  <c r="U43" i="6"/>
  <c r="S57" i="1" s="1"/>
  <c r="V43" i="6"/>
  <c r="T57" i="1" s="1"/>
  <c r="V33" i="6"/>
  <c r="T48" i="1" s="1"/>
  <c r="F94" i="2"/>
  <c r="H70" i="4"/>
  <c r="H71" i="4" s="1"/>
  <c r="F109" i="2"/>
  <c r="F99" i="2"/>
  <c r="F74" i="2"/>
  <c r="F103" i="2"/>
  <c r="T32" i="1"/>
  <c r="J31" i="4"/>
  <c r="V151" i="3"/>
  <c r="V154" i="3" s="1"/>
  <c r="V14" i="3" s="1"/>
  <c r="U20" i="1"/>
  <c r="W12" i="6" s="1"/>
  <c r="W86" i="6" s="1"/>
  <c r="U157" i="3"/>
  <c r="U31" i="1" s="1"/>
  <c r="U13" i="1"/>
  <c r="F93" i="2"/>
  <c r="F104" i="2"/>
  <c r="F112" i="2"/>
  <c r="F96" i="2"/>
  <c r="F110" i="2"/>
  <c r="F111" i="2"/>
  <c r="F105" i="2"/>
  <c r="F113" i="2"/>
  <c r="F107" i="2"/>
  <c r="F106" i="2"/>
  <c r="F97" i="2"/>
  <c r="F43" i="2"/>
  <c r="F108" i="2"/>
  <c r="F95" i="2"/>
  <c r="I50" i="4"/>
  <c r="Q63" i="1"/>
  <c r="V145" i="3"/>
  <c r="V149" i="3" s="1"/>
  <c r="U12" i="1"/>
  <c r="J12" i="4"/>
  <c r="J13" i="4" s="1"/>
  <c r="T14" i="1"/>
  <c r="S72" i="1" s="1"/>
  <c r="S66" i="1" l="1"/>
  <c r="S63" i="1"/>
  <c r="R78" i="1"/>
  <c r="R80" i="1" s="1"/>
  <c r="J46" i="4"/>
  <c r="W89" i="6"/>
  <c r="U60" i="1" s="1"/>
  <c r="W83" i="6"/>
  <c r="U51" i="1" s="1"/>
  <c r="U14" i="1"/>
  <c r="T72" i="1" s="1"/>
  <c r="W11" i="6"/>
  <c r="W40" i="6" s="1"/>
  <c r="V89" i="6"/>
  <c r="T60" i="1" s="1"/>
  <c r="J49" i="4" s="1"/>
  <c r="V83" i="6"/>
  <c r="T51" i="1" s="1"/>
  <c r="T52" i="1" s="1"/>
  <c r="Q80" i="1"/>
  <c r="Q81" i="1" s="1"/>
  <c r="J32" i="4"/>
  <c r="J38" i="4" s="1"/>
  <c r="U32" i="1"/>
  <c r="T38" i="1"/>
  <c r="S78" i="1"/>
  <c r="S80" i="1" s="1"/>
  <c r="V12" i="1"/>
  <c r="W145" i="3"/>
  <c r="W149" i="3" s="1"/>
  <c r="F56" i="2"/>
  <c r="I52" i="4"/>
  <c r="V157" i="3"/>
  <c r="V31" i="1" s="1"/>
  <c r="V32" i="1" s="1"/>
  <c r="W151" i="3"/>
  <c r="W154" i="3" s="1"/>
  <c r="W14" i="3" s="1"/>
  <c r="V20" i="1"/>
  <c r="X12" i="6" s="1"/>
  <c r="X86" i="6" s="1"/>
  <c r="V13" i="1"/>
  <c r="F114" i="2"/>
  <c r="F75" i="2"/>
  <c r="J52" i="4" l="1"/>
  <c r="R81" i="1"/>
  <c r="S81" i="1" s="1"/>
  <c r="T63" i="1"/>
  <c r="T66" i="1"/>
  <c r="J55" i="4" s="1"/>
  <c r="J61" i="4"/>
  <c r="X89" i="6"/>
  <c r="V60" i="1" s="1"/>
  <c r="X83" i="6"/>
  <c r="V51" i="1" s="1"/>
  <c r="W43" i="6"/>
  <c r="U57" i="1" s="1"/>
  <c r="W33" i="6"/>
  <c r="U48" i="1" s="1"/>
  <c r="U52" i="1" s="1"/>
  <c r="V14" i="1"/>
  <c r="U72" i="1" s="1"/>
  <c r="X11" i="6"/>
  <c r="X40" i="6" s="1"/>
  <c r="I70" i="4"/>
  <c r="I71" i="4" s="1"/>
  <c r="U38" i="1"/>
  <c r="W20" i="1"/>
  <c r="W157" i="3"/>
  <c r="W31" i="1" s="1"/>
  <c r="W32" i="1" s="1"/>
  <c r="X151" i="3"/>
  <c r="X154" i="3" s="1"/>
  <c r="X14" i="3" s="1"/>
  <c r="W13" i="1"/>
  <c r="Y11" i="6" s="1"/>
  <c r="Y40" i="6" s="1"/>
  <c r="X145" i="3"/>
  <c r="X149" i="3" s="1"/>
  <c r="W12" i="1"/>
  <c r="K11" i="4" s="1"/>
  <c r="F98" i="2"/>
  <c r="F58" i="2"/>
  <c r="F78" i="2" s="1"/>
  <c r="V38" i="1"/>
  <c r="U66" i="1" l="1"/>
  <c r="U63" i="1"/>
  <c r="J67" i="4"/>
  <c r="J70" i="4" s="1"/>
  <c r="J71" i="4" s="1"/>
  <c r="T78" i="1"/>
  <c r="T80" i="1" s="1"/>
  <c r="T81" i="1" s="1"/>
  <c r="K19" i="4"/>
  <c r="Y12" i="6"/>
  <c r="Y86" i="6" s="1"/>
  <c r="X33" i="6"/>
  <c r="V48" i="1" s="1"/>
  <c r="V52" i="1" s="1"/>
  <c r="X43" i="6"/>
  <c r="V57" i="1" s="1"/>
  <c r="Y33" i="6"/>
  <c r="W48" i="1" s="1"/>
  <c r="Y43" i="6"/>
  <c r="W57" i="1" s="1"/>
  <c r="K31" i="4"/>
  <c r="K32" i="4" s="1"/>
  <c r="K38" i="4" s="1"/>
  <c r="F59" i="2"/>
  <c r="F100" i="2"/>
  <c r="W14" i="1"/>
  <c r="V72" i="1" s="1"/>
  <c r="K12" i="4"/>
  <c r="K13" i="4" s="1"/>
  <c r="X20" i="1"/>
  <c r="Z12" i="6" s="1"/>
  <c r="Z86" i="6" s="1"/>
  <c r="X157" i="3"/>
  <c r="X31" i="1" s="1"/>
  <c r="Y151" i="3"/>
  <c r="Y154" i="3" s="1"/>
  <c r="Y14" i="3" s="1"/>
  <c r="X13" i="1"/>
  <c r="W38" i="1"/>
  <c r="Y145" i="3"/>
  <c r="Y149" i="3" s="1"/>
  <c r="X12" i="1"/>
  <c r="K46" i="4" l="1"/>
  <c r="U78" i="1"/>
  <c r="U80" i="1" s="1"/>
  <c r="U81" i="1" s="1"/>
  <c r="V66" i="1"/>
  <c r="V78" i="1" s="1"/>
  <c r="V63" i="1"/>
  <c r="X14" i="1"/>
  <c r="W72" i="1" s="1"/>
  <c r="Z11" i="6"/>
  <c r="Z40" i="6" s="1"/>
  <c r="Y89" i="6"/>
  <c r="W60" i="1" s="1"/>
  <c r="K49" i="4" s="1"/>
  <c r="Y83" i="6"/>
  <c r="W51" i="1" s="1"/>
  <c r="W52" i="1" s="1"/>
  <c r="Z83" i="6"/>
  <c r="X51" i="1" s="1"/>
  <c r="Z89" i="6"/>
  <c r="X60" i="1" s="1"/>
  <c r="Z151" i="3"/>
  <c r="Z154" i="3" s="1"/>
  <c r="Z14" i="3" s="1"/>
  <c r="Y13" i="1"/>
  <c r="Y157" i="3"/>
  <c r="Y31" i="1" s="1"/>
  <c r="Y32" i="1" s="1"/>
  <c r="Y20" i="1"/>
  <c r="AA12" i="6" s="1"/>
  <c r="AA86" i="6" s="1"/>
  <c r="Z145" i="3"/>
  <c r="Z149" i="3" s="1"/>
  <c r="Y12" i="1"/>
  <c r="X32" i="1"/>
  <c r="F79" i="2"/>
  <c r="F80" i="2"/>
  <c r="V80" i="1" l="1"/>
  <c r="W66" i="1"/>
  <c r="K55" i="4" s="1"/>
  <c r="W63" i="1"/>
  <c r="K52" i="4"/>
  <c r="K61" i="4"/>
  <c r="AA89" i="6"/>
  <c r="Y60" i="1" s="1"/>
  <c r="AA83" i="6"/>
  <c r="Y51" i="1" s="1"/>
  <c r="Z43" i="6"/>
  <c r="X57" i="1" s="1"/>
  <c r="Z33" i="6"/>
  <c r="X48" i="1" s="1"/>
  <c r="X52" i="1" s="1"/>
  <c r="Y14" i="1"/>
  <c r="X72" i="1" s="1"/>
  <c r="AA11" i="6"/>
  <c r="AA40" i="6" s="1"/>
  <c r="Z13" i="1"/>
  <c r="AB11" i="6" s="1"/>
  <c r="AB40" i="6" s="1"/>
  <c r="AA151" i="3"/>
  <c r="AA154" i="3" s="1"/>
  <c r="AA14" i="3" s="1"/>
  <c r="Z157" i="3"/>
  <c r="Z31" i="1" s="1"/>
  <c r="Z20" i="1"/>
  <c r="Z12" i="1"/>
  <c r="L11" i="4" s="1"/>
  <c r="AA145" i="3"/>
  <c r="AA149" i="3" s="1"/>
  <c r="X38" i="1"/>
  <c r="V81" i="1"/>
  <c r="Y38" i="1"/>
  <c r="K67" i="4" l="1"/>
  <c r="W78" i="1"/>
  <c r="W80" i="1" s="1"/>
  <c r="W81" i="1" s="1"/>
  <c r="X66" i="1"/>
  <c r="X63" i="1"/>
  <c r="AA43" i="6"/>
  <c r="Y57" i="1" s="1"/>
  <c r="L46" i="4" s="1"/>
  <c r="AA33" i="6"/>
  <c r="Y48" i="1" s="1"/>
  <c r="Y52" i="1" s="1"/>
  <c r="L19" i="4"/>
  <c r="AB12" i="6"/>
  <c r="AB86" i="6" s="1"/>
  <c r="AB33" i="6"/>
  <c r="Z48" i="1" s="1"/>
  <c r="AB43" i="6"/>
  <c r="Z57" i="1" s="1"/>
  <c r="K70" i="4"/>
  <c r="K71" i="4" s="1"/>
  <c r="Z14" i="1"/>
  <c r="Y72" i="1" s="1"/>
  <c r="L12" i="4"/>
  <c r="L13" i="4" s="1"/>
  <c r="Z32" i="1"/>
  <c r="L31" i="4"/>
  <c r="AB145" i="3"/>
  <c r="AB149" i="3" s="1"/>
  <c r="AA12" i="1"/>
  <c r="AA157" i="3"/>
  <c r="AA31" i="1" s="1"/>
  <c r="AB151" i="3"/>
  <c r="AB154" i="3" s="1"/>
  <c r="AB14" i="3" s="1"/>
  <c r="AA20" i="1"/>
  <c r="AC12" i="6" s="1"/>
  <c r="AC86" i="6" s="1"/>
  <c r="AA13" i="1"/>
  <c r="Y63" i="1" l="1"/>
  <c r="Y66" i="1"/>
  <c r="Y78" i="1" s="1"/>
  <c r="X78" i="1"/>
  <c r="X80" i="1" s="1"/>
  <c r="X81" i="1" s="1"/>
  <c r="AB83" i="6"/>
  <c r="Z51" i="1" s="1"/>
  <c r="Z52" i="1" s="1"/>
  <c r="AB89" i="6"/>
  <c r="Z60" i="1" s="1"/>
  <c r="L49" i="4" s="1"/>
  <c r="L52" i="4" s="1"/>
  <c r="AA14" i="1"/>
  <c r="Z72" i="1" s="1"/>
  <c r="AC11" i="6"/>
  <c r="AC40" i="6" s="1"/>
  <c r="AC83" i="6"/>
  <c r="AA51" i="1" s="1"/>
  <c r="AC89" i="6"/>
  <c r="AA60" i="1" s="1"/>
  <c r="AC145" i="3"/>
  <c r="AC149" i="3" s="1"/>
  <c r="AB12" i="1"/>
  <c r="AB157" i="3"/>
  <c r="AB31" i="1" s="1"/>
  <c r="AB32" i="1" s="1"/>
  <c r="AB13" i="1"/>
  <c r="AB20" i="1"/>
  <c r="AD12" i="6" s="1"/>
  <c r="AD86" i="6" s="1"/>
  <c r="AC151" i="3"/>
  <c r="AC154" i="3" s="1"/>
  <c r="AC14" i="3" s="1"/>
  <c r="L32" i="4"/>
  <c r="L38" i="4" s="1"/>
  <c r="AA32" i="1"/>
  <c r="Z38" i="1"/>
  <c r="Z63" i="1" l="1"/>
  <c r="Z66" i="1"/>
  <c r="L55" i="4" s="1"/>
  <c r="L61" i="4"/>
  <c r="AC33" i="6"/>
  <c r="AA48" i="1" s="1"/>
  <c r="AA52" i="1" s="1"/>
  <c r="AC43" i="6"/>
  <c r="AA57" i="1" s="1"/>
  <c r="AB14" i="1"/>
  <c r="AA72" i="1" s="1"/>
  <c r="AD11" i="6"/>
  <c r="AD40" i="6" s="1"/>
  <c r="AD89" i="6"/>
  <c r="AB60" i="1" s="1"/>
  <c r="AD83" i="6"/>
  <c r="AB51" i="1" s="1"/>
  <c r="Y80" i="1"/>
  <c r="Y81" i="1" s="1"/>
  <c r="AB38" i="1"/>
  <c r="AC13" i="1"/>
  <c r="AE11" i="6" s="1"/>
  <c r="AE40" i="6" s="1"/>
  <c r="AC157" i="3"/>
  <c r="AC31" i="1" s="1"/>
  <c r="AC20" i="1"/>
  <c r="AD151" i="3"/>
  <c r="AD154" i="3" s="1"/>
  <c r="AD14" i="3" s="1"/>
  <c r="AA38" i="1"/>
  <c r="AD145" i="3"/>
  <c r="AD149" i="3" s="1"/>
  <c r="AC12" i="1"/>
  <c r="M11" i="4" s="1"/>
  <c r="L67" i="4" l="1"/>
  <c r="Z78" i="1"/>
  <c r="Z80" i="1" s="1"/>
  <c r="Z81" i="1" s="1"/>
  <c r="AA66" i="1"/>
  <c r="AA63" i="1"/>
  <c r="AE33" i="6"/>
  <c r="AC48" i="1" s="1"/>
  <c r="AE43" i="6"/>
  <c r="AC57" i="1" s="1"/>
  <c r="AD33" i="6"/>
  <c r="AB48" i="1" s="1"/>
  <c r="AB52" i="1" s="1"/>
  <c r="AD43" i="6"/>
  <c r="AB57" i="1" s="1"/>
  <c r="M19" i="4"/>
  <c r="G20" i="2" s="1"/>
  <c r="AE12" i="6"/>
  <c r="AE86" i="6" s="1"/>
  <c r="L70" i="4"/>
  <c r="L71" i="4" s="1"/>
  <c r="M12" i="4"/>
  <c r="AC14" i="1"/>
  <c r="AB72" i="1" s="1"/>
  <c r="G12" i="2"/>
  <c r="AD157" i="3"/>
  <c r="AD31" i="1" s="1"/>
  <c r="AD13" i="1"/>
  <c r="AD20" i="1"/>
  <c r="AF12" i="6" s="1"/>
  <c r="AF86" i="6" s="1"/>
  <c r="AE151" i="3"/>
  <c r="AE154" i="3" s="1"/>
  <c r="AE14" i="3" s="1"/>
  <c r="AD12" i="1"/>
  <c r="AE145" i="3"/>
  <c r="AE149" i="3" s="1"/>
  <c r="AC32" i="1"/>
  <c r="M31" i="4"/>
  <c r="AA78" i="1" l="1"/>
  <c r="AA80" i="1" s="1"/>
  <c r="AA81" i="1" s="1"/>
  <c r="AB63" i="1"/>
  <c r="AB66" i="1"/>
  <c r="AB78" i="1" s="1"/>
  <c r="M46" i="4"/>
  <c r="G52" i="2" s="1"/>
  <c r="AF89" i="6"/>
  <c r="AD60" i="1" s="1"/>
  <c r="AF83" i="6"/>
  <c r="AD51" i="1" s="1"/>
  <c r="AE89" i="6"/>
  <c r="AC60" i="1" s="1"/>
  <c r="M49" i="4" s="1"/>
  <c r="AE83" i="6"/>
  <c r="AC51" i="1" s="1"/>
  <c r="AC52" i="1" s="1"/>
  <c r="AD14" i="1"/>
  <c r="AC72" i="1" s="1"/>
  <c r="M61" i="4" s="1"/>
  <c r="AF11" i="6"/>
  <c r="AF40" i="6" s="1"/>
  <c r="AF145" i="3"/>
  <c r="AF149" i="3" s="1"/>
  <c r="AE12" i="1"/>
  <c r="AD32" i="1"/>
  <c r="G13" i="2"/>
  <c r="G14" i="2" s="1"/>
  <c r="M13" i="4"/>
  <c r="AC38" i="1"/>
  <c r="M32" i="4"/>
  <c r="M38" i="4" s="1"/>
  <c r="G32" i="2"/>
  <c r="G34" i="2" s="1"/>
  <c r="G48" i="2" s="1"/>
  <c r="AE157" i="3"/>
  <c r="AE31" i="1" s="1"/>
  <c r="AE32" i="1" s="1"/>
  <c r="AE20" i="1"/>
  <c r="AG12" i="6" s="1"/>
  <c r="AG86" i="6" s="1"/>
  <c r="AE13" i="1"/>
  <c r="AF151" i="3"/>
  <c r="AF154" i="3" s="1"/>
  <c r="AF14" i="3" s="1"/>
  <c r="AB80" i="1" l="1"/>
  <c r="AC62" i="1" s="1"/>
  <c r="M51" i="4" s="1"/>
  <c r="G57" i="2" s="1"/>
  <c r="AC66" i="1"/>
  <c r="M55" i="4" s="1"/>
  <c r="M67" i="4" s="1"/>
  <c r="AE14" i="1"/>
  <c r="AD72" i="1" s="1"/>
  <c r="AG11" i="6"/>
  <c r="AG40" i="6" s="1"/>
  <c r="AG83" i="6"/>
  <c r="AE51" i="1" s="1"/>
  <c r="AG89" i="6"/>
  <c r="AE60" i="1" s="1"/>
  <c r="AF43" i="6"/>
  <c r="AD57" i="1" s="1"/>
  <c r="AF33" i="6"/>
  <c r="AD48" i="1" s="1"/>
  <c r="AD52" i="1" s="1"/>
  <c r="AF13" i="1"/>
  <c r="AH11" i="6" s="1"/>
  <c r="AH40" i="6" s="1"/>
  <c r="AF20" i="1"/>
  <c r="AG151" i="3"/>
  <c r="AG154" i="3" s="1"/>
  <c r="AG14" i="3" s="1"/>
  <c r="AF157" i="3"/>
  <c r="AF31" i="1" s="1"/>
  <c r="G68" i="2"/>
  <c r="G42" i="2"/>
  <c r="G89" i="2"/>
  <c r="G35" i="2"/>
  <c r="AD38" i="1"/>
  <c r="AE38" i="1"/>
  <c r="AG145" i="3"/>
  <c r="AG149" i="3" s="1"/>
  <c r="AF12" i="1"/>
  <c r="N11" i="4" s="1"/>
  <c r="AB81" i="1" l="1"/>
  <c r="AC61" i="1"/>
  <c r="AD63" i="1"/>
  <c r="AD66" i="1"/>
  <c r="AC78" i="1"/>
  <c r="AH43" i="6"/>
  <c r="AF57" i="1" s="1"/>
  <c r="AH33" i="6"/>
  <c r="AF48" i="1" s="1"/>
  <c r="N19" i="4"/>
  <c r="AH12" i="6"/>
  <c r="AH86" i="6" s="1"/>
  <c r="AG43" i="6"/>
  <c r="AE57" i="1" s="1"/>
  <c r="AG33" i="6"/>
  <c r="AE48" i="1" s="1"/>
  <c r="AE52" i="1" s="1"/>
  <c r="G99" i="2"/>
  <c r="AH145" i="3"/>
  <c r="AH149" i="3" s="1"/>
  <c r="AG12" i="1"/>
  <c r="AF32" i="1"/>
  <c r="N31" i="4"/>
  <c r="G106" i="2"/>
  <c r="G96" i="2"/>
  <c r="G93" i="2"/>
  <c r="G105" i="2"/>
  <c r="G112" i="2"/>
  <c r="G43" i="2"/>
  <c r="G94" i="2"/>
  <c r="G110" i="2"/>
  <c r="G95" i="2"/>
  <c r="G108" i="2"/>
  <c r="G111" i="2"/>
  <c r="G107" i="2"/>
  <c r="G113" i="2"/>
  <c r="G104" i="2"/>
  <c r="AG157" i="3"/>
  <c r="AG31" i="1" s="1"/>
  <c r="AG20" i="1"/>
  <c r="AI12" i="6" s="1"/>
  <c r="AI86" i="6" s="1"/>
  <c r="AG13" i="1"/>
  <c r="AH151" i="3"/>
  <c r="AH154" i="3" s="1"/>
  <c r="AH14" i="3" s="1"/>
  <c r="AC63" i="1"/>
  <c r="M50" i="4"/>
  <c r="G109" i="2"/>
  <c r="AF14" i="1"/>
  <c r="AE72" i="1" s="1"/>
  <c r="N12" i="4"/>
  <c r="N13" i="4" s="1"/>
  <c r="AE66" i="1" l="1"/>
  <c r="AE78" i="1" s="1"/>
  <c r="AE63" i="1"/>
  <c r="N46" i="4"/>
  <c r="AD78" i="1"/>
  <c r="AD80" i="1" s="1"/>
  <c r="AH89" i="6"/>
  <c r="AF60" i="1" s="1"/>
  <c r="N49" i="4" s="1"/>
  <c r="AH83" i="6"/>
  <c r="AF51" i="1" s="1"/>
  <c r="AG14" i="1"/>
  <c r="AF72" i="1" s="1"/>
  <c r="N61" i="4" s="1"/>
  <c r="AI11" i="6"/>
  <c r="AI40" i="6" s="1"/>
  <c r="AF52" i="1"/>
  <c r="AI89" i="6"/>
  <c r="AG60" i="1" s="1"/>
  <c r="AI83" i="6"/>
  <c r="AG51" i="1" s="1"/>
  <c r="AC80" i="1"/>
  <c r="AC81" i="1" s="1"/>
  <c r="N32" i="4"/>
  <c r="N38" i="4" s="1"/>
  <c r="AH157" i="3"/>
  <c r="AH31" i="1" s="1"/>
  <c r="AH32" i="1" s="1"/>
  <c r="AH13" i="1"/>
  <c r="AH20" i="1"/>
  <c r="AJ12" i="6" s="1"/>
  <c r="AJ86" i="6" s="1"/>
  <c r="AI151" i="3"/>
  <c r="AI154" i="3" s="1"/>
  <c r="AI14" i="3" s="1"/>
  <c r="AF38" i="1"/>
  <c r="AG32" i="1"/>
  <c r="G56" i="2"/>
  <c r="M52" i="4"/>
  <c r="AI145" i="3"/>
  <c r="AI149" i="3" s="1"/>
  <c r="AH12" i="1"/>
  <c r="AE80" i="1" l="1"/>
  <c r="AF63" i="1"/>
  <c r="N52" i="4"/>
  <c r="AF66" i="1"/>
  <c r="N55" i="4" s="1"/>
  <c r="AD81" i="1"/>
  <c r="AE81" i="1" s="1"/>
  <c r="AH14" i="1"/>
  <c r="AG72" i="1" s="1"/>
  <c r="AJ11" i="6"/>
  <c r="AJ40" i="6" s="1"/>
  <c r="AJ89" i="6"/>
  <c r="AH60" i="1" s="1"/>
  <c r="AJ83" i="6"/>
  <c r="AH51" i="1" s="1"/>
  <c r="AI33" i="6"/>
  <c r="AG48" i="1" s="1"/>
  <c r="AG52" i="1" s="1"/>
  <c r="AI43" i="6"/>
  <c r="AG57" i="1" s="1"/>
  <c r="M70" i="4"/>
  <c r="M71" i="4" s="1"/>
  <c r="AH38" i="1"/>
  <c r="AI157" i="3"/>
  <c r="AI31" i="1" s="1"/>
  <c r="AI20" i="1"/>
  <c r="AI13" i="1"/>
  <c r="AK11" i="6" s="1"/>
  <c r="AK40" i="6" s="1"/>
  <c r="AJ151" i="3"/>
  <c r="AJ154" i="3" s="1"/>
  <c r="AJ14" i="3" s="1"/>
  <c r="G98" i="2"/>
  <c r="AI12" i="1"/>
  <c r="O11" i="4" s="1"/>
  <c r="AJ145" i="3"/>
  <c r="AJ149" i="3" s="1"/>
  <c r="AG38" i="1"/>
  <c r="N67" i="4" l="1"/>
  <c r="N70" i="4" s="1"/>
  <c r="N71" i="4" s="1"/>
  <c r="AG63" i="1"/>
  <c r="AG66" i="1"/>
  <c r="AF78" i="1"/>
  <c r="AF80" i="1" s="1"/>
  <c r="AF81" i="1" s="1"/>
  <c r="O19" i="4"/>
  <c r="AK12" i="6"/>
  <c r="AK86" i="6" s="1"/>
  <c r="AJ33" i="6"/>
  <c r="AH48" i="1" s="1"/>
  <c r="AH52" i="1" s="1"/>
  <c r="AJ43" i="6"/>
  <c r="AH57" i="1" s="1"/>
  <c r="O46" i="4" s="1"/>
  <c r="AK43" i="6"/>
  <c r="AI57" i="1" s="1"/>
  <c r="AK33" i="6"/>
  <c r="AI48" i="1" s="1"/>
  <c r="AK145" i="3"/>
  <c r="AK149" i="3" s="1"/>
  <c r="AJ12" i="1"/>
  <c r="O12" i="4"/>
  <c r="O13" i="4" s="1"/>
  <c r="AI14" i="1"/>
  <c r="AH72" i="1" s="1"/>
  <c r="AK151" i="3"/>
  <c r="AK154" i="3" s="1"/>
  <c r="AK14" i="3" s="1"/>
  <c r="AJ20" i="1"/>
  <c r="AL12" i="6" s="1"/>
  <c r="AL86" i="6" s="1"/>
  <c r="AJ13" i="1"/>
  <c r="AJ157" i="3"/>
  <c r="AJ31" i="1" s="1"/>
  <c r="AI32" i="1"/>
  <c r="O31" i="4"/>
  <c r="AH63" i="1" l="1"/>
  <c r="AH66" i="1"/>
  <c r="AG78" i="1"/>
  <c r="AG80" i="1" s="1"/>
  <c r="AG81" i="1" s="1"/>
  <c r="AL89" i="6"/>
  <c r="AJ60" i="1" s="1"/>
  <c r="AL83" i="6"/>
  <c r="AJ51" i="1" s="1"/>
  <c r="AK89" i="6"/>
  <c r="AI60" i="1" s="1"/>
  <c r="O49" i="4" s="1"/>
  <c r="AK83" i="6"/>
  <c r="AI51" i="1" s="1"/>
  <c r="AI52" i="1" s="1"/>
  <c r="AJ14" i="1"/>
  <c r="AI72" i="1" s="1"/>
  <c r="AL11" i="6"/>
  <c r="AL40" i="6" s="1"/>
  <c r="AI38" i="1"/>
  <c r="AK157" i="3"/>
  <c r="AK31" i="1" s="1"/>
  <c r="AK32" i="1" s="1"/>
  <c r="AL151" i="3"/>
  <c r="AL154" i="3" s="1"/>
  <c r="AL14" i="3" s="1"/>
  <c r="AK13" i="1"/>
  <c r="AK20" i="1"/>
  <c r="AM12" i="6" s="1"/>
  <c r="AM86" i="6" s="1"/>
  <c r="AL145" i="3"/>
  <c r="AL149" i="3" s="1"/>
  <c r="AK12" i="1"/>
  <c r="O32" i="4"/>
  <c r="O38" i="4" s="1"/>
  <c r="AJ32" i="1"/>
  <c r="AH78" i="1"/>
  <c r="O61" i="4"/>
  <c r="AI66" i="1" l="1"/>
  <c r="AI78" i="1" s="1"/>
  <c r="O52" i="4"/>
  <c r="AI63" i="1"/>
  <c r="AM89" i="6"/>
  <c r="AK60" i="1" s="1"/>
  <c r="AM83" i="6"/>
  <c r="AK51" i="1" s="1"/>
  <c r="AK14" i="1"/>
  <c r="AJ72" i="1" s="1"/>
  <c r="AM11" i="6"/>
  <c r="AM40" i="6" s="1"/>
  <c r="AL43" i="6"/>
  <c r="AJ57" i="1" s="1"/>
  <c r="AL33" i="6"/>
  <c r="AJ48" i="1" s="1"/>
  <c r="AJ52" i="1" s="1"/>
  <c r="AH80" i="1"/>
  <c r="AH81" i="1" s="1"/>
  <c r="AJ38" i="1"/>
  <c r="AM145" i="3"/>
  <c r="AM149" i="3" s="1"/>
  <c r="AL12" i="1"/>
  <c r="P11" i="4" s="1"/>
  <c r="AL20" i="1"/>
  <c r="AM151" i="3"/>
  <c r="AM154" i="3" s="1"/>
  <c r="AM14" i="3" s="1"/>
  <c r="AL157" i="3"/>
  <c r="AL31" i="1" s="1"/>
  <c r="AL13" i="1"/>
  <c r="AN11" i="6" s="1"/>
  <c r="AN40" i="6" s="1"/>
  <c r="AK38" i="1"/>
  <c r="O55" i="4" l="1"/>
  <c r="O67" i="4" s="1"/>
  <c r="O70" i="4" s="1"/>
  <c r="O71" i="4" s="1"/>
  <c r="AJ63" i="1"/>
  <c r="AJ66" i="1"/>
  <c r="AI80" i="1"/>
  <c r="AI81" i="1" s="1"/>
  <c r="AN43" i="6"/>
  <c r="AL57" i="1" s="1"/>
  <c r="AN33" i="6"/>
  <c r="AL48" i="1" s="1"/>
  <c r="AM33" i="6"/>
  <c r="AK48" i="1" s="1"/>
  <c r="AK52" i="1" s="1"/>
  <c r="AM43" i="6"/>
  <c r="AK57" i="1" s="1"/>
  <c r="P19" i="4"/>
  <c r="AN12" i="6"/>
  <c r="AN86" i="6" s="1"/>
  <c r="AL32" i="1"/>
  <c r="P31" i="4"/>
  <c r="AN145" i="3"/>
  <c r="AN149" i="3" s="1"/>
  <c r="AM12" i="1"/>
  <c r="AM20" i="1"/>
  <c r="AO12" i="6" s="1"/>
  <c r="AO86" i="6" s="1"/>
  <c r="AM157" i="3"/>
  <c r="AM31" i="1" s="1"/>
  <c r="AN151" i="3"/>
  <c r="AN154" i="3" s="1"/>
  <c r="AN14" i="3" s="1"/>
  <c r="AM13" i="1"/>
  <c r="P12" i="4"/>
  <c r="P13" i="4" s="1"/>
  <c r="AL14" i="1"/>
  <c r="AK72" i="1" s="1"/>
  <c r="AJ78" i="1" l="1"/>
  <c r="AJ80" i="1" s="1"/>
  <c r="AJ81" i="1" s="1"/>
  <c r="AK63" i="1"/>
  <c r="AK66" i="1"/>
  <c r="AK78" i="1" s="1"/>
  <c r="P46" i="4"/>
  <c r="AN89" i="6"/>
  <c r="AL60" i="1" s="1"/>
  <c r="P49" i="4" s="1"/>
  <c r="AN83" i="6"/>
  <c r="AL51" i="1" s="1"/>
  <c r="AL52" i="1" s="1"/>
  <c r="AM14" i="1"/>
  <c r="AL72" i="1" s="1"/>
  <c r="AO11" i="6"/>
  <c r="AO40" i="6" s="1"/>
  <c r="AO83" i="6"/>
  <c r="AM51" i="1" s="1"/>
  <c r="AO89" i="6"/>
  <c r="AM60" i="1" s="1"/>
  <c r="P61" i="4"/>
  <c r="AN157" i="3"/>
  <c r="AN31" i="1" s="1"/>
  <c r="AN32" i="1" s="1"/>
  <c r="AN20" i="1"/>
  <c r="AP12" i="6" s="1"/>
  <c r="AP86" i="6" s="1"/>
  <c r="AN13" i="1"/>
  <c r="AO151" i="3"/>
  <c r="AO154" i="3" s="1"/>
  <c r="AO14" i="3" s="1"/>
  <c r="AN12" i="1"/>
  <c r="AO145" i="3"/>
  <c r="AO149" i="3" s="1"/>
  <c r="P32" i="4"/>
  <c r="P38" i="4" s="1"/>
  <c r="AM32" i="1"/>
  <c r="AL38" i="1"/>
  <c r="AK80" i="1" l="1"/>
  <c r="AK81" i="1" s="1"/>
  <c r="P52" i="4"/>
  <c r="AL63" i="1"/>
  <c r="AL66" i="1"/>
  <c r="P55" i="4" s="1"/>
  <c r="AP83" i="6"/>
  <c r="AN51" i="1" s="1"/>
  <c r="AP89" i="6"/>
  <c r="AN60" i="1" s="1"/>
  <c r="AN14" i="1"/>
  <c r="AM72" i="1" s="1"/>
  <c r="AP11" i="6"/>
  <c r="AP40" i="6" s="1"/>
  <c r="AO43" i="6"/>
  <c r="AM57" i="1" s="1"/>
  <c r="AO33" i="6"/>
  <c r="AM48" i="1" s="1"/>
  <c r="AM52" i="1" s="1"/>
  <c r="AO157" i="3"/>
  <c r="AO31" i="1" s="1"/>
  <c r="AO13" i="1"/>
  <c r="AQ11" i="6" s="1"/>
  <c r="AQ40" i="6" s="1"/>
  <c r="AO20" i="1"/>
  <c r="AP151" i="3"/>
  <c r="AP154" i="3" s="1"/>
  <c r="AP14" i="3" s="1"/>
  <c r="AM38" i="1"/>
  <c r="AP145" i="3"/>
  <c r="AP149" i="3" s="1"/>
  <c r="AQ145" i="3" s="1"/>
  <c r="AQ149" i="3" s="1"/>
  <c r="AO12" i="1"/>
  <c r="Q11" i="4" s="1"/>
  <c r="AN38" i="1"/>
  <c r="AM66" i="1" l="1"/>
  <c r="AM63" i="1"/>
  <c r="AL78" i="1"/>
  <c r="AL80" i="1" s="1"/>
  <c r="AL81" i="1" s="1"/>
  <c r="P67" i="4"/>
  <c r="P70" i="4" s="1"/>
  <c r="P71" i="4" s="1"/>
  <c r="AQ43" i="6"/>
  <c r="AO57" i="1" s="1"/>
  <c r="AQ33" i="6"/>
  <c r="AO48" i="1" s="1"/>
  <c r="AP43" i="6"/>
  <c r="AN57" i="1" s="1"/>
  <c r="AP33" i="6"/>
  <c r="AN48" i="1" s="1"/>
  <c r="AN52" i="1" s="1"/>
  <c r="Q19" i="4"/>
  <c r="H20" i="2" s="1"/>
  <c r="AQ12" i="6"/>
  <c r="AQ86" i="6" s="1"/>
  <c r="H12" i="2"/>
  <c r="AQ151" i="3"/>
  <c r="AQ154" i="3" s="1"/>
  <c r="AQ14" i="3" s="1"/>
  <c r="AP157" i="3"/>
  <c r="Q12" i="4"/>
  <c r="AO14" i="1"/>
  <c r="AO32" i="1"/>
  <c r="Q31" i="4"/>
  <c r="Q46" i="4" l="1"/>
  <c r="H52" i="2" s="1"/>
  <c r="AM78" i="1"/>
  <c r="AM80" i="1" s="1"/>
  <c r="AM81" i="1" s="1"/>
  <c r="AN66" i="1"/>
  <c r="AN63" i="1"/>
  <c r="AQ83" i="6"/>
  <c r="AO51" i="1" s="1"/>
  <c r="AO52" i="1" s="1"/>
  <c r="AQ89" i="6"/>
  <c r="AO60" i="1" s="1"/>
  <c r="Q49" i="4" s="1"/>
  <c r="AO38" i="1"/>
  <c r="AQ157" i="3"/>
  <c r="AN72" i="1"/>
  <c r="AP14" i="1"/>
  <c r="AO72" i="1" s="1"/>
  <c r="Q32" i="4"/>
  <c r="Q38" i="4" s="1"/>
  <c r="H32" i="2"/>
  <c r="H34" i="2" s="1"/>
  <c r="H48" i="2" s="1"/>
  <c r="Q13" i="4"/>
  <c r="H13" i="2"/>
  <c r="H14" i="2" s="1"/>
  <c r="AO66" i="1" l="1"/>
  <c r="Q55" i="4" s="1"/>
  <c r="H62" i="2" s="1"/>
  <c r="G55" i="2"/>
  <c r="H55" i="2"/>
  <c r="G62" i="2"/>
  <c r="H35" i="2"/>
  <c r="H42" i="2"/>
  <c r="H89" i="2"/>
  <c r="AN78" i="1"/>
  <c r="AN80" i="1" s="1"/>
  <c r="Q61" i="4"/>
  <c r="AO78" i="1" l="1"/>
  <c r="G74" i="2"/>
  <c r="G103" i="2"/>
  <c r="G97" i="2"/>
  <c r="G58" i="2"/>
  <c r="AO61" i="1"/>
  <c r="AO62" i="1"/>
  <c r="Q51" i="4" s="1"/>
  <c r="H57" i="2" s="1"/>
  <c r="H99" i="2" s="1"/>
  <c r="AN81" i="1"/>
  <c r="Q67" i="4"/>
  <c r="H68" i="2"/>
  <c r="H110" i="2"/>
  <c r="H97" i="2"/>
  <c r="H94" i="2"/>
  <c r="H113" i="2"/>
  <c r="H103" i="2"/>
  <c r="H105" i="2"/>
  <c r="H108" i="2"/>
  <c r="H107" i="2"/>
  <c r="H93" i="2"/>
  <c r="H43" i="2"/>
  <c r="H112" i="2"/>
  <c r="H111" i="2"/>
  <c r="H95" i="2"/>
  <c r="H96" i="2"/>
  <c r="H106" i="2"/>
  <c r="H104" i="2"/>
  <c r="G78" i="2" l="1"/>
  <c r="G59" i="2"/>
  <c r="G100" i="2"/>
  <c r="G114" i="2"/>
  <c r="G75" i="2"/>
  <c r="H109" i="2"/>
  <c r="H74" i="2"/>
  <c r="Q50" i="4"/>
  <c r="AO63" i="1"/>
  <c r="G80" i="2" l="1"/>
  <c r="G79" i="2"/>
  <c r="AO80" i="1"/>
  <c r="AO81" i="1" s="1"/>
  <c r="Q52" i="4"/>
  <c r="H56" i="2"/>
  <c r="H114" i="2"/>
  <c r="H75" i="2"/>
  <c r="Q70" i="4" l="1"/>
  <c r="Q71" i="4" s="1"/>
  <c r="H58" i="2"/>
  <c r="H78" i="2" s="1"/>
  <c r="H98" i="2"/>
  <c r="H59" i="2" l="1"/>
  <c r="H100" i="2"/>
  <c r="H80" i="2" l="1"/>
  <c r="H7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Weinstein</author>
  </authors>
  <commentList>
    <comment ref="C14" authorId="0" shapeId="0" xr:uid="{055B03E1-2C97-45E9-9E52-35404DB4AB0E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Investors / $ Loans Originated based on Funders Circle 1H2019 - latest filing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Weinstein</author>
  </authors>
  <commentList>
    <comment ref="B24" authorId="0" shapeId="0" xr:uid="{1AB0807E-D345-4B05-8453-2CB4086D6541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Loan repaid</t>
        </r>
      </text>
    </comment>
    <comment ref="E51" authorId="0" shapeId="0" xr:uid="{88BCD6E4-606A-45F7-BD2F-E4F18052B385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Assumes 1.5% of requested loan volume qualifies</t>
        </r>
      </text>
    </comment>
    <comment ref="C77" authorId="0" shapeId="0" xr:uid="{47E0EEA2-46F7-4F83-A0A3-222346CDABB4}">
      <text>
        <r>
          <rPr>
            <b/>
            <sz val="9"/>
            <color rgb="FF000000"/>
            <rFont val="Tahoma"/>
            <family val="2"/>
          </rPr>
          <t>Marc Weinstein: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For equity (Post money)
</t>
        </r>
        <r>
          <rPr>
            <sz val="9"/>
            <color rgb="FF000000"/>
            <rFont val="Tahoma"/>
            <family val="2"/>
          </rPr>
          <t xml:space="preserve">For SAFE or Convertible (Val Cap) 
</t>
        </r>
        <r>
          <rPr>
            <sz val="9"/>
            <color rgb="FF000000"/>
            <rFont val="Tahoma"/>
            <family val="2"/>
          </rPr>
          <t>For ICO - total network value</t>
        </r>
      </text>
    </comment>
    <comment ref="D88" authorId="0" shapeId="0" xr:uid="{380F7DA5-D8E7-4EA9-BA78-1501438597E9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Note, this is the start of their publicly available data, not since inception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Weinstein</author>
  </authors>
  <commentList>
    <comment ref="C15" authorId="0" shapeId="0" xr:uid="{0A2205C0-0E52-424F-8A96-880442177A44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Oct &amp; Nov listed in one report from Solve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jorda</author>
    <author>Marc Weinstein</author>
  </authors>
  <commentList>
    <comment ref="B4" authorId="0" shapeId="0" xr:uid="{4FF767E6-5119-410F-9BEA-4CECD2D1A588}">
      <text>
        <r>
          <rPr>
            <b/>
            <sz val="9"/>
            <color indexed="81"/>
            <rFont val="Tahoma"/>
            <family val="2"/>
          </rPr>
          <t>jorda:</t>
        </r>
        <r>
          <rPr>
            <sz val="9"/>
            <color indexed="81"/>
            <rFont val="Tahoma"/>
            <family val="2"/>
          </rPr>
          <t xml:space="preserve">
GREEN: Growth/expansion periods
ORANGE: Steady-state</t>
        </r>
      </text>
    </comment>
    <comment ref="C35" authorId="1" shapeId="0" xr:uid="{F3BFC6E0-86F6-4B38-900B-245A85F17310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Based on Funders Circle S
1</t>
        </r>
      </text>
    </comment>
    <comment ref="C37" authorId="1" shapeId="0" xr:uid="{C90AC97E-72DE-4D92-A707-6AD4EE1DACF9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Based on Funders Circle S
1</t>
        </r>
      </text>
    </comment>
    <comment ref="C86" authorId="1" shapeId="0" xr:uid="{3055C819-D158-4266-9003-2B8594EB46A8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Based on Funders Circle S
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Weinstein</author>
  </authors>
  <commentList>
    <comment ref="E14" authorId="0" shapeId="0" xr:uid="{9C8FFCB0-9EF2-49CF-80E0-9F953832AEA8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Investors / $ Loans Originated based on Funders Circle 1H2019 - latest filing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jorda</author>
    <author>Marc Weinstein</author>
  </authors>
  <commentList>
    <comment ref="R48" authorId="0" shapeId="0" xr:uid="{A0D0A0F3-51CD-4F13-910D-D95DE65897B6}">
      <text>
        <r>
          <rPr>
            <b/>
            <sz val="9"/>
            <color indexed="81"/>
            <rFont val="Tahoma"/>
            <family val="2"/>
          </rPr>
          <t>jorda:</t>
        </r>
        <r>
          <rPr>
            <sz val="9"/>
            <color indexed="81"/>
            <rFont val="Tahoma"/>
            <family val="2"/>
          </rPr>
          <t xml:space="preserve">
Hiring of Technical Analyst</t>
        </r>
      </text>
    </comment>
    <comment ref="C66" authorId="1" shapeId="0" xr:uid="{E003614D-EDCE-4595-ACBC-28C2C6F6483A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% Salaries (only one not annual growth)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Weinstein</author>
  </authors>
  <commentList>
    <comment ref="E38" authorId="0" shapeId="0" xr:uid="{DACF93EB-14C7-40F2-A372-1E6F82001E17}">
      <text>
        <r>
          <rPr>
            <b/>
            <sz val="9"/>
            <color rgb="FF000000"/>
            <rFont val="Tahoma"/>
            <family val="2"/>
          </rPr>
          <t>Marc Weinstein: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Includes 4 months of $8k monthly fee from Jameson for crowdfunding services</t>
        </r>
      </text>
    </comment>
    <comment ref="D46" authorId="0" shapeId="0" xr:uid="{1BD96A0A-99A0-468E-9C7D-35D09EFA5DFB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Included in staff expenses </t>
        </r>
      </text>
    </comment>
    <comment ref="E46" authorId="0" shapeId="0" xr:uid="{22AD14E0-6B5D-4C5B-BC26-C1A5373BB1AB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Included in staff expenses </t>
        </r>
      </text>
    </comment>
    <comment ref="D64" authorId="0" shapeId="0" xr:uid="{E7EB9489-ABB4-4801-A8B6-067F0F9D9659}">
      <text>
        <r>
          <rPr>
            <b/>
            <sz val="9"/>
            <color indexed="81"/>
            <rFont val="Tahoma"/>
            <family val="2"/>
          </rPr>
          <t>Marc Weinstein:</t>
        </r>
        <r>
          <rPr>
            <sz val="9"/>
            <color indexed="81"/>
            <rFont val="Tahoma"/>
            <family val="2"/>
          </rPr>
          <t xml:space="preserve">
1-A Filing costs</t>
        </r>
      </text>
    </comment>
    <comment ref="D71" authorId="0" shapeId="0" xr:uid="{5643D703-5D41-44A8-B0A7-5D17799D8F79}">
      <text>
        <r>
          <rPr>
            <b/>
            <sz val="9"/>
            <color rgb="FF000000"/>
            <rFont val="Tahoma"/>
            <family val="2"/>
          </rPr>
          <t>Marc Weinstein: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Includes Software + Office</t>
        </r>
      </text>
    </comment>
    <comment ref="E71" authorId="0" shapeId="0" xr:uid="{66DC2B77-BCF9-40E7-91FC-1137DB63FAE3}">
      <text>
        <r>
          <rPr>
            <b/>
            <sz val="9"/>
            <color rgb="FF000000"/>
            <rFont val="Tahoma"/>
            <family val="2"/>
          </rPr>
          <t>Marc Weinstein: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Includes Software + Office</t>
        </r>
      </text>
    </comment>
  </commentList>
</comments>
</file>

<file path=xl/sharedStrings.xml><?xml version="1.0" encoding="utf-8"?>
<sst xmlns="http://schemas.openxmlformats.org/spreadsheetml/2006/main" count="697" uniqueCount="423">
  <si>
    <t>Supplies + CPU + Phone</t>
  </si>
  <si>
    <t>2018A</t>
  </si>
  <si>
    <t>2019E</t>
  </si>
  <si>
    <t>2020E</t>
  </si>
  <si>
    <t>FY2020E, Month Ending</t>
  </si>
  <si>
    <t>Assumptions</t>
  </si>
  <si>
    <t>Revenue Build</t>
  </si>
  <si>
    <t>Monthly P&amp;L</t>
  </si>
  <si>
    <t>Quarterly P&amp;L</t>
  </si>
  <si>
    <t>Annual P&amp;L</t>
  </si>
  <si>
    <t>Payroll Tax + Benefits</t>
  </si>
  <si>
    <t>Sep 2018A</t>
  </si>
  <si>
    <t>Dec 2018A</t>
  </si>
  <si>
    <t>Jun 2019E</t>
  </si>
  <si>
    <t>Sep 2019E</t>
  </si>
  <si>
    <t>Dec 2019E</t>
  </si>
  <si>
    <t>Mar 2020E</t>
  </si>
  <si>
    <t>Jun 2020E</t>
  </si>
  <si>
    <t>Sep 2020E</t>
  </si>
  <si>
    <t>Dec 2020E</t>
  </si>
  <si>
    <t>Q1 2020E</t>
  </si>
  <si>
    <t>Q2 2020E</t>
  </si>
  <si>
    <t>Q3 2020E</t>
  </si>
  <si>
    <t>Q4 2020E</t>
  </si>
  <si>
    <t>Mar 2021E</t>
  </si>
  <si>
    <t>Jun 2021E</t>
  </si>
  <si>
    <t>Sep 2021E</t>
  </si>
  <si>
    <t>Dec 2021E</t>
  </si>
  <si>
    <t>FY2021E, Month Ending</t>
  </si>
  <si>
    <t>FY 2021E</t>
  </si>
  <si>
    <t>FY 2020E</t>
  </si>
  <si>
    <t>Q1 2021E</t>
  </si>
  <si>
    <t>Q2 2021E</t>
  </si>
  <si>
    <t>Q3 2021E</t>
  </si>
  <si>
    <t>Q4 2021E</t>
  </si>
  <si>
    <t>Staffing Expenses</t>
  </si>
  <si>
    <t>2021E</t>
  </si>
  <si>
    <t>Revenue:</t>
  </si>
  <si>
    <t>General Expenses</t>
  </si>
  <si>
    <t>Footnotes:</t>
  </si>
  <si>
    <t>Total Staffing Expenses</t>
  </si>
  <si>
    <t>Total General Expenses</t>
  </si>
  <si>
    <t>Mar 2019A</t>
  </si>
  <si>
    <t>Staffing FTE's</t>
  </si>
  <si>
    <t>Project</t>
  </si>
  <si>
    <t>#</t>
  </si>
  <si>
    <t>Company Name</t>
  </si>
  <si>
    <t>x</t>
  </si>
  <si>
    <t>2022E</t>
  </si>
  <si>
    <t>FY2022E, Month Ending</t>
  </si>
  <si>
    <t>FY 2022E</t>
  </si>
  <si>
    <t>Q1 2022E</t>
  </si>
  <si>
    <t>Q2 2022E</t>
  </si>
  <si>
    <t>Q3 2022E</t>
  </si>
  <si>
    <t>Q4 2022E</t>
  </si>
  <si>
    <t>Q1 2020e</t>
  </si>
  <si>
    <t>Q2 2020e</t>
  </si>
  <si>
    <t>Q3 2020e</t>
  </si>
  <si>
    <t>Q4 2020e</t>
  </si>
  <si>
    <t>Q4 2019e</t>
  </si>
  <si>
    <t>Annual Growth</t>
  </si>
  <si>
    <t>FTEs</t>
  </si>
  <si>
    <t>Legal &amp; Compliance</t>
  </si>
  <si>
    <t>Other Expenses</t>
  </si>
  <si>
    <t>Total Staffing Expenses / Total Revenue</t>
  </si>
  <si>
    <t>Total General Expenses / Total Revenue</t>
  </si>
  <si>
    <t>New Business Development Personell</t>
  </si>
  <si>
    <t>Operating Income (Annually)</t>
  </si>
  <si>
    <t>Operating Income (Cumulative)</t>
  </si>
  <si>
    <t>Operating Income (Quarterly)</t>
  </si>
  <si>
    <t>Operating Income (Monthly)</t>
  </si>
  <si>
    <t xml:space="preserve">Regulatory </t>
  </si>
  <si>
    <t>Office Rent</t>
  </si>
  <si>
    <t>$000s</t>
  </si>
  <si>
    <t>Operating Profit Margin (%)</t>
  </si>
  <si>
    <t>RealCrowd</t>
  </si>
  <si>
    <t>Sharestates</t>
  </si>
  <si>
    <t>PeerStreet</t>
  </si>
  <si>
    <t>RealtyShares</t>
  </si>
  <si>
    <t>RealtyMogul</t>
  </si>
  <si>
    <t>CrowdStreet</t>
  </si>
  <si>
    <t>Origin Investments</t>
  </si>
  <si>
    <t>Roofstock</t>
  </si>
  <si>
    <t>Cadre</t>
  </si>
  <si>
    <t>Total Raised 
Since Inception</t>
  </si>
  <si>
    <t>Software Architects</t>
  </si>
  <si>
    <t>Dev Ops</t>
  </si>
  <si>
    <t>QA</t>
  </si>
  <si>
    <t>% of Revenue</t>
  </si>
  <si>
    <r>
      <t>Fiscal Year Ending</t>
    </r>
    <r>
      <rPr>
        <b/>
        <vertAlign val="superscript"/>
        <sz val="10"/>
        <color theme="0"/>
        <rFont val="Avenir Next LT Pro"/>
        <family val="2"/>
      </rPr>
      <t>(1)</t>
    </r>
  </si>
  <si>
    <t>% Growth</t>
  </si>
  <si>
    <t>TOTAL REVENUE</t>
  </si>
  <si>
    <t xml:space="preserve">Staffing Build </t>
  </si>
  <si>
    <t>Year Founded</t>
  </si>
  <si>
    <t># Years</t>
  </si>
  <si>
    <t>Est. $ Raised 
/ Year</t>
  </si>
  <si>
    <t>Hard coded assumption</t>
  </si>
  <si>
    <t>Cell linked to another worksheet</t>
  </si>
  <si>
    <t>Cell includes formula</t>
  </si>
  <si>
    <t>CELL HIGHLIGHT KEY</t>
  </si>
  <si>
    <t>FONT KEY  (Except for outputs - all font black for aesthetics)</t>
  </si>
  <si>
    <t>Hard coded assumption that drives the model</t>
  </si>
  <si>
    <t>Cell linked to another cell within its worksheet</t>
  </si>
  <si>
    <t>Sum of expenses</t>
  </si>
  <si>
    <t>Sum of revenues</t>
  </si>
  <si>
    <t>Sum of total revenues or net operating profit</t>
  </si>
  <si>
    <t>Steward Holdings (US) Inc., A Public Benefit Corporation</t>
  </si>
  <si>
    <t>Financial Model</t>
  </si>
  <si>
    <t>2018A - 2022E</t>
  </si>
  <si>
    <t>New Loans</t>
  </si>
  <si>
    <t>Total Loans Oustanding</t>
  </si>
  <si>
    <t>New Originations</t>
  </si>
  <si>
    <t>Total Loans Outstanding</t>
  </si>
  <si>
    <t>Farm Loans ($)</t>
  </si>
  <si>
    <t>Farm Loans (#)</t>
  </si>
  <si>
    <t>Loan Size</t>
  </si>
  <si>
    <t>Current Farms</t>
  </si>
  <si>
    <t>ACRE Detroit</t>
  </si>
  <si>
    <t>Fisheye Farms</t>
  </si>
  <si>
    <t>Beiler’s Heritage Acres</t>
  </si>
  <si>
    <t>Eastfork Cultivars / Hope Mountain</t>
  </si>
  <si>
    <t>Domaine Julien Guillon</t>
  </si>
  <si>
    <t xml:space="preserve">Iverstine Family Farm </t>
  </si>
  <si>
    <t xml:space="preserve">Dusty Roads Farm </t>
  </si>
  <si>
    <t>ShangriLa Farms / Stewardship Sustainable Farm</t>
  </si>
  <si>
    <t>Naked Acres</t>
  </si>
  <si>
    <t>Fleischer Family Farm</t>
  </si>
  <si>
    <t>Tru Livin' Farms</t>
  </si>
  <si>
    <t>Red Rooster Farms</t>
  </si>
  <si>
    <t>Avrom Farms</t>
  </si>
  <si>
    <t>Clear Creek Family Farm</t>
  </si>
  <si>
    <t>Kubed Root</t>
  </si>
  <si>
    <t>Sierra Valley Farm</t>
  </si>
  <si>
    <t>Location</t>
  </si>
  <si>
    <t>Interest Rate (%)</t>
  </si>
  <si>
    <t>TOTAL</t>
  </si>
  <si>
    <t>Detroit, MI</t>
  </si>
  <si>
    <t>Kinzers, PA</t>
  </si>
  <si>
    <t>Takilma, OR</t>
  </si>
  <si>
    <t>Valais, Switzerland</t>
  </si>
  <si>
    <t>Kentwood, LA</t>
  </si>
  <si>
    <t>Franklinton, LA</t>
  </si>
  <si>
    <t>Seaside, OR</t>
  </si>
  <si>
    <t>Lakewood, CO</t>
  </si>
  <si>
    <t>Norman, OK</t>
  </si>
  <si>
    <t>Booneville, AR</t>
  </si>
  <si>
    <t>Ripon, WI</t>
  </si>
  <si>
    <t>Clarkson, NE</t>
  </si>
  <si>
    <t>Buffalo, NY</t>
  </si>
  <si>
    <t>Beckwourth, CA</t>
  </si>
  <si>
    <t>Date</t>
  </si>
  <si>
    <t>Close Date</t>
  </si>
  <si>
    <t>By George</t>
  </si>
  <si>
    <t>Nehalem</t>
  </si>
  <si>
    <t>Grand Isle Sea Farms</t>
  </si>
  <si>
    <t>North Bridger Bison</t>
  </si>
  <si>
    <t>Historical Deals + 2020 Deal Pipeline</t>
  </si>
  <si>
    <t>First New Deal Closes</t>
  </si>
  <si>
    <t>Term (Years)</t>
  </si>
  <si>
    <t>Average Loan Term (Years)</t>
  </si>
  <si>
    <t>Total New $ Loaned Per Month</t>
  </si>
  <si>
    <t>Annual Loan Servicing Fee</t>
  </si>
  <si>
    <t>Number of New Loan Originations</t>
  </si>
  <si>
    <t>Total Origination Fee Revenue</t>
  </si>
  <si>
    <t>Plus: Repayment of Avg. Deal Due Diligence Costs</t>
  </si>
  <si>
    <t>Gross Origination Fee Revenue</t>
  </si>
  <si>
    <t xml:space="preserve">Future Farm Loan Application Conversion Rate </t>
  </si>
  <si>
    <t>Paid Digital Marketing Report from Solve Marketing - US Only</t>
  </si>
  <si>
    <t>YTD 
Spend</t>
  </si>
  <si>
    <t>Expected LTV / CAC</t>
  </si>
  <si>
    <t>Year</t>
  </si>
  <si>
    <t>Farm SaaS Revenue</t>
  </si>
  <si>
    <t>% Applicants Converted to SaaS Clients</t>
  </si>
  <si>
    <t>Avg. Monthly SaaS Fee</t>
  </si>
  <si>
    <t>Beg. Period Outstanding Loans</t>
  </si>
  <si>
    <t>New Loan Originations</t>
  </si>
  <si>
    <t>Expired Loans</t>
  </si>
  <si>
    <t>End Period Outstanding Loans</t>
  </si>
  <si>
    <t>Beg. Period Outstanding Loan Volume</t>
  </si>
  <si>
    <t>End Period Total Outstanding Loan Volume</t>
  </si>
  <si>
    <t>Beginning Period # of SaaS Clients</t>
  </si>
  <si>
    <t>Number of new SaaS Clients</t>
  </si>
  <si>
    <t>End Period # of SaaS Clients</t>
  </si>
  <si>
    <t>SaaS Customer Churn</t>
  </si>
  <si>
    <t>New SaaS Customers</t>
  </si>
  <si>
    <t>Total SaaS Customers</t>
  </si>
  <si>
    <t>Churned SaaS Customers</t>
  </si>
  <si>
    <t>Loan Origination Fees</t>
  </si>
  <si>
    <t>Loan Servicing Fees</t>
  </si>
  <si>
    <t>DD Reimbursement</t>
  </si>
  <si>
    <t>Farmer SaaS Revenue</t>
  </si>
  <si>
    <t>Total Existing Team Salaries</t>
  </si>
  <si>
    <t>% Growth Annual Salaries</t>
  </si>
  <si>
    <t>REVENUE</t>
  </si>
  <si>
    <t>New SaaS Clients</t>
  </si>
  <si>
    <t>Churned SaaS Clients</t>
  </si>
  <si>
    <t>Total SaaS Customers Clients</t>
  </si>
  <si>
    <t>Total FTEs</t>
  </si>
  <si>
    <t>Farm Loans ($000s)</t>
  </si>
  <si>
    <t>2019A</t>
  </si>
  <si>
    <t>SaaS Client Relation Manager (Sr)</t>
  </si>
  <si>
    <t>SaaS Client Relation Manager (Jr)</t>
  </si>
  <si>
    <t>Operations &amp; Administrative Staff</t>
  </si>
  <si>
    <t>Executive Team</t>
  </si>
  <si>
    <t>Junior Legal Professional</t>
  </si>
  <si>
    <t>Junior Farm Steward</t>
  </si>
  <si>
    <t>Lending Team: Finance, Legal, &amp; Farm Stewards</t>
  </si>
  <si>
    <t>Business Development and Marketing Team</t>
  </si>
  <si>
    <t>Lending Team: Finance, Legal &amp; Farm Stewards</t>
  </si>
  <si>
    <t>SaaS / Technology Team</t>
  </si>
  <si>
    <t>Operations &amp; Administrative Team</t>
  </si>
  <si>
    <t>[X]</t>
  </si>
  <si>
    <t>Business Development and Marketing Teams</t>
  </si>
  <si>
    <t>Travel, Entertainment, Conference  Expenses</t>
  </si>
  <si>
    <t>Net Interest / Other Income</t>
  </si>
  <si>
    <t>Public Relations</t>
  </si>
  <si>
    <t>Other Advertising</t>
  </si>
  <si>
    <r>
      <t xml:space="preserve">Security Audit </t>
    </r>
    <r>
      <rPr>
        <vertAlign val="superscript"/>
        <sz val="11"/>
        <color theme="1"/>
        <rFont val="Avenir Next LT Pro"/>
        <family val="2"/>
      </rPr>
      <t>(1)</t>
    </r>
  </si>
  <si>
    <t>(1) Security audit is not a full time position; assume quarterly audit</t>
  </si>
  <si>
    <t>UX/UI Designers - Christina</t>
  </si>
  <si>
    <t>[x]</t>
  </si>
  <si>
    <t>IT Managers - Jerome Guilbot</t>
  </si>
  <si>
    <t>VP Business Development - Marc Weinstien</t>
  </si>
  <si>
    <t>Co-Founder &amp; CEO - Dan Miller</t>
  </si>
  <si>
    <t>VP of Operations - Faisal Baeshan</t>
  </si>
  <si>
    <t>Total Product &amp; Technology Team Salaries</t>
  </si>
  <si>
    <t>Product and Technology Team</t>
  </si>
  <si>
    <t>Total Lending Team Salaries</t>
  </si>
  <si>
    <t>Total Business Development &amp; Marketing Team Salaries</t>
  </si>
  <si>
    <t>Total Operations &amp; Administrative Team Salaries</t>
  </si>
  <si>
    <t xml:space="preserve">New Senior Finance Professional </t>
  </si>
  <si>
    <t>Contractors</t>
  </si>
  <si>
    <t>+Contractors</t>
  </si>
  <si>
    <t>Direct Marketing for Investors</t>
  </si>
  <si>
    <t>Lending Revenue / $ Outstanding Loans</t>
  </si>
  <si>
    <t>SaaS Revenue / $ # Clients</t>
  </si>
  <si>
    <t>Loan Origination</t>
  </si>
  <si>
    <t>SaaS Client Growth</t>
  </si>
  <si>
    <t>NA</t>
  </si>
  <si>
    <t xml:space="preserve">NM </t>
  </si>
  <si>
    <t>Staffing Expenses (% of Revenue)</t>
  </si>
  <si>
    <t>General Expenses (% of Revenue)</t>
  </si>
  <si>
    <t>New Loan Originations ($)</t>
  </si>
  <si>
    <t>Loan Servicing Revenue</t>
  </si>
  <si>
    <t>Total Investors on Steward</t>
  </si>
  <si>
    <t>New Investors Joining Steward</t>
  </si>
  <si>
    <t>Future Farm Loans</t>
  </si>
  <si>
    <t>Number of Loan Originations From Existing Pipeline</t>
  </si>
  <si>
    <t>Number of New Loan Originations from New Applications</t>
  </si>
  <si>
    <t>Video Production</t>
  </si>
  <si>
    <t>Business Development, Investor Relations, Marketing Teams</t>
  </si>
  <si>
    <t>Dec 2019A</t>
  </si>
  <si>
    <t>Dec 2022E</t>
  </si>
  <si>
    <t>VP of Agriculture - Aaron Newton</t>
  </si>
  <si>
    <t xml:space="preserve">Front-end Developers </t>
  </si>
  <si>
    <t>Back-end Developers - James</t>
  </si>
  <si>
    <r>
      <t xml:space="preserve">FundRise </t>
    </r>
    <r>
      <rPr>
        <b/>
        <vertAlign val="superscript"/>
        <sz val="12"/>
        <color rgb="FF000000"/>
        <rFont val="Avenir Next LT Pro"/>
        <family val="2"/>
      </rPr>
      <t>(1)</t>
    </r>
  </si>
  <si>
    <t>(1) Steward founder, Dan Miller, was co-founder of Fundrise</t>
  </si>
  <si>
    <t>Investor Relations Associates</t>
  </si>
  <si>
    <t>2020 New Loans to Existing Farms</t>
  </si>
  <si>
    <t>New Loan Originations (Existing Farms)</t>
  </si>
  <si>
    <t>New Loan Originations (New Applicants)</t>
  </si>
  <si>
    <t xml:space="preserve">(1) 2018 new originations includes 2 loans originated in 2017: ACRE Detroit, and Fisheye Farms </t>
  </si>
  <si>
    <r>
      <t xml:space="preserve">New Originations </t>
    </r>
    <r>
      <rPr>
        <vertAlign val="superscript"/>
        <sz val="10"/>
        <color theme="1"/>
        <rFont val="Avenir Next LT Pro"/>
        <family val="2"/>
      </rPr>
      <t>(1)(2)</t>
    </r>
  </si>
  <si>
    <r>
      <t xml:space="preserve">Farmer SaaS Revenue </t>
    </r>
    <r>
      <rPr>
        <vertAlign val="superscript"/>
        <sz val="10"/>
        <color theme="1"/>
        <rFont val="Avenir Next LT Pro"/>
        <family val="2"/>
      </rPr>
      <t>(3)</t>
    </r>
  </si>
  <si>
    <r>
      <t xml:space="preserve">Direct Marketing for Investors </t>
    </r>
    <r>
      <rPr>
        <vertAlign val="superscript"/>
        <sz val="10"/>
        <color theme="1"/>
        <rFont val="Avenir Next LT Pro"/>
        <family val="2"/>
      </rPr>
      <t>(4)</t>
    </r>
  </si>
  <si>
    <r>
      <t xml:space="preserve">Other Advertising </t>
    </r>
    <r>
      <rPr>
        <vertAlign val="superscript"/>
        <sz val="10"/>
        <color theme="1"/>
        <rFont val="Avenir Next LT Pro"/>
        <family val="2"/>
      </rPr>
      <t>(5)</t>
    </r>
  </si>
  <si>
    <r>
      <t xml:space="preserve">Video Production </t>
    </r>
    <r>
      <rPr>
        <vertAlign val="superscript"/>
        <sz val="10"/>
        <color theme="1"/>
        <rFont val="Avenir Next LT Pro"/>
        <family val="2"/>
      </rPr>
      <t>(5)</t>
    </r>
  </si>
  <si>
    <t>(5) 2018 and 2019 "Other Advertising" &amp; Video Services costs include one time fees related to website launch, brand creation, and initial farm video production</t>
  </si>
  <si>
    <t>(4) Direct marketing costs for investors in 2018 and 2019 was equal to $0; Steward investor portal went live in late 2019 and direct marketing kicked off in 2020</t>
  </si>
  <si>
    <t>(2) 2018 &amp; 2019 Loan Originations based upon detailed loan drawdown schedule which is available upon request</t>
  </si>
  <si>
    <t>Junior Digital Marketing Professional</t>
  </si>
  <si>
    <t>New Junior Finance &amp; Accounting Professionals</t>
  </si>
  <si>
    <t>Historical Farmer Acquisition Costs - USA</t>
  </si>
  <si>
    <r>
      <t xml:space="preserve">As of April 2019 </t>
    </r>
    <r>
      <rPr>
        <vertAlign val="superscript"/>
        <sz val="11"/>
        <color theme="1"/>
        <rFont val="Calibri"/>
        <family val="2"/>
        <scheme val="minor"/>
      </rPr>
      <t>(1)</t>
    </r>
  </si>
  <si>
    <t>Footnotes</t>
  </si>
  <si>
    <r>
      <t xml:space="preserve">YTD
Leads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</si>
  <si>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Avg. Expected CAC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</si>
  <si>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ANNUAL $ NEW ISSUANCE COMPARABLES (REAL ESTATE CROWDFUNDING)</t>
  </si>
  <si>
    <t>Funders Circle (SME crowdfunding, not real estate)</t>
  </si>
  <si>
    <r>
      <t xml:space="preserve">MEDIAN </t>
    </r>
    <r>
      <rPr>
        <b/>
        <vertAlign val="superscript"/>
        <sz val="12"/>
        <color rgb="FF000000"/>
        <rFont val="Avenir Next LT Pro"/>
        <family val="2"/>
      </rPr>
      <t>(2)</t>
    </r>
  </si>
  <si>
    <t>(2) This estimate is used to drive our new originations assumptions in Year 3, 2022E</t>
  </si>
  <si>
    <t>(1) Represents date of signing; however, each loan is drawn over multiple dates. Detailed historical loan schedule available in data room.</t>
  </si>
  <si>
    <t>Loan Applications Assigned to a Farm Steward</t>
  </si>
  <si>
    <t>Nehalem, OR</t>
  </si>
  <si>
    <t>Slidell, LA</t>
  </si>
  <si>
    <t>Wilsall, MT</t>
  </si>
  <si>
    <t>Jacksonville, OR</t>
  </si>
  <si>
    <t>Loan Applications at Phone Call stage of DD</t>
  </si>
  <si>
    <t>Loan Applications Pending Review</t>
  </si>
  <si>
    <t>2020 New Loans in Final Stage of Due Diligence as of February 29, 2020</t>
  </si>
  <si>
    <t>(2) This does not drive the revenue in this model. Included to display "future farm loans", Row 77 of Revenue Build worksheet based on actual pending loan applications.</t>
  </si>
  <si>
    <r>
      <t xml:space="preserve">Other Loan Applications Received &amp; Pending Due Diligence as of February 29, 2020 </t>
    </r>
    <r>
      <rPr>
        <b/>
        <vertAlign val="superscript"/>
        <sz val="12"/>
        <rFont val="Avenir Next LT Pro"/>
        <family val="2"/>
      </rPr>
      <t>(2)(3)</t>
    </r>
  </si>
  <si>
    <t>(3) Full loan pipeline included in data room</t>
  </si>
  <si>
    <t xml:space="preserve">Investors / $ Loans Originated </t>
  </si>
  <si>
    <t>(1) Direct marketing paused in April 2019 due to unexpectedly high demand from farmers. Focus shifted to complete the investor / issuer platform,</t>
  </si>
  <si>
    <t xml:space="preserve">launch the Steward Farm Trust, market to investors, public relations, and other compliance. </t>
  </si>
  <si>
    <t>(2) Leads = submitted forms; complete loan application pipeline available upon request</t>
  </si>
  <si>
    <t>Expected Loan Conversion</t>
  </si>
  <si>
    <t>Qualified Loans</t>
  </si>
  <si>
    <t>Notes</t>
  </si>
  <si>
    <t>2018 statistics only</t>
  </si>
  <si>
    <t>Since launch of website in 2019</t>
  </si>
  <si>
    <t>% Total Spend</t>
  </si>
  <si>
    <t>Cost Per Loan</t>
  </si>
  <si>
    <t xml:space="preserve">Year </t>
  </si>
  <si>
    <t>Historical CAC</t>
  </si>
  <si>
    <t>Total Direct Marketing Spend 2018 &amp; 2019</t>
  </si>
  <si>
    <t>Last Updated:</t>
  </si>
  <si>
    <t>Direct Costs: Lending</t>
  </si>
  <si>
    <t>Total Direct Costs Lending</t>
  </si>
  <si>
    <t>Direct Costs</t>
  </si>
  <si>
    <t>DIRECT COSTS</t>
  </si>
  <si>
    <t>Total Direct Costs</t>
  </si>
  <si>
    <t>% of Lending Revenue</t>
  </si>
  <si>
    <t>[OTHER] FOR FUTURE INTERNAL BUDGETING PURPOSES</t>
  </si>
  <si>
    <t>SaaS Revenue</t>
  </si>
  <si>
    <t>Total SaaS Revenue</t>
  </si>
  <si>
    <t>New Farm Profiles Created</t>
  </si>
  <si>
    <t>Non-reimbursable Diligence Costs</t>
  </si>
  <si>
    <t xml:space="preserve">% of Total </t>
  </si>
  <si>
    <t>DD Costs</t>
  </si>
  <si>
    <t>Financing Revenue</t>
  </si>
  <si>
    <t xml:space="preserve">Total Financing Revenue </t>
  </si>
  <si>
    <t>Total Investors Steward Farm Trust</t>
  </si>
  <si>
    <t>New Investors Joining Steward Farm Trust</t>
  </si>
  <si>
    <t>Growth (%)</t>
  </si>
  <si>
    <r>
      <t>Direct Marketing for Investors</t>
    </r>
    <r>
      <rPr>
        <vertAlign val="superscript"/>
        <sz val="10"/>
        <color theme="1"/>
        <rFont val="Avenir Next LT Pro"/>
        <family val="2"/>
      </rPr>
      <t xml:space="preserve"> (4)</t>
    </r>
  </si>
  <si>
    <r>
      <t>Other Advertising</t>
    </r>
    <r>
      <rPr>
        <vertAlign val="superscript"/>
        <sz val="10"/>
        <color theme="1"/>
        <rFont val="Avenir Next LT Pro"/>
        <family val="2"/>
      </rPr>
      <t xml:space="preserve"> (5)</t>
    </r>
  </si>
  <si>
    <t>New Farm Profiles Created Growth</t>
  </si>
  <si>
    <t>Farm SaaS (#)</t>
  </si>
  <si>
    <t>Farm Loans &amp; Investors (#)</t>
  </si>
  <si>
    <t>Farmer Accounts + Investors Accounts Created on Platform</t>
  </si>
  <si>
    <t>Total # of Investor Profiles Created</t>
  </si>
  <si>
    <t># of New Farm Profiles Created</t>
  </si>
  <si>
    <t>Direct Marketing - Farms</t>
  </si>
  <si>
    <t>Avg. Expected Cost Per New Farm Profile</t>
  </si>
  <si>
    <t>Est. CAC
Finance</t>
  </si>
  <si>
    <t>Est. CAC
Farm Profile</t>
  </si>
  <si>
    <t>Cost Per 
Farm Profile</t>
  </si>
  <si>
    <t>Avg. Expected Cost per Farm Profile</t>
  </si>
  <si>
    <t>Finance Business CAC based solely on # of Farms Financed to Date</t>
  </si>
  <si>
    <t>Expected SaaS Conversion</t>
  </si>
  <si>
    <t>Avg. Expected Cost Per New Farm Loan</t>
  </si>
  <si>
    <t>Est. CAC
SaaS</t>
  </si>
  <si>
    <t>SaaS Clients</t>
  </si>
  <si>
    <t>Cost Per SaaS</t>
  </si>
  <si>
    <t>Avg. Expected Cost Per New Farm SaaS Client</t>
  </si>
  <si>
    <r>
      <t>Expected Lifetime Value of New SaaS Client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</si>
  <si>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t xml:space="preserve">     Founder paused funding deals once track record proven.</t>
  </si>
  <si>
    <t xml:space="preserve">(3) CAC based on weighted average of 2018 &amp; 2019 cost per lead based on assumption that 15% of leads will convert to new SaaS customers </t>
  </si>
  <si>
    <t>(5) CAC based on weighted average of 2018 &amp; 2019 cost per lead based on assumption that 3% of leads will convert to new loan originations</t>
  </si>
  <si>
    <t xml:space="preserve">(7) This # is artificially high. Actual farm loans paused due to availability of capital, not lack of qualified applicants. </t>
  </si>
  <si>
    <r>
      <t xml:space="preserve">Farm Loans </t>
    </r>
    <r>
      <rPr>
        <vertAlign val="superscript"/>
        <sz val="11"/>
        <color theme="1"/>
        <rFont val="Calibri"/>
        <family val="2"/>
        <scheme val="minor"/>
      </rPr>
      <t>(7)</t>
    </r>
  </si>
  <si>
    <r>
      <t xml:space="preserve">Avg. Expected CAC 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</si>
  <si>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r>
      <t>Expected Lifetime Value of New Farm Loan</t>
    </r>
    <r>
      <rPr>
        <b/>
        <vertAlign val="superscript"/>
        <sz val="11"/>
        <color theme="1"/>
        <rFont val="Calibri"/>
        <family val="2"/>
        <scheme val="minor"/>
      </rPr>
      <t>(6)</t>
    </r>
  </si>
  <si>
    <t>(4) LTV Farm SaaS Client assumes 5 year term + $199 average monthly services fee</t>
  </si>
  <si>
    <t>(6) LTV Farm assumes $500,000 average loan size, 2% origination fee, 1% annual servicing fee, 5 year term</t>
  </si>
  <si>
    <t>(3) 2019 Includes consulting revenue of $8k per month for advisory to Jamestown Invest Real Estate</t>
  </si>
  <si>
    <t>Accounts /</t>
  </si>
  <si>
    <t>Manager</t>
  </si>
  <si>
    <t xml:space="preserve">Operations Associate </t>
  </si>
  <si>
    <t xml:space="preserve">Other Admin Staff </t>
  </si>
  <si>
    <t>VP Finance &amp; Accounting - Cameron Browne</t>
  </si>
  <si>
    <t>VP of Legal - David McElroy</t>
  </si>
  <si>
    <t>Loan Servicing Fees (Average 1.0% per annum)</t>
  </si>
  <si>
    <t>Product Managers</t>
  </si>
  <si>
    <t xml:space="preserve">Loan Origination Fees (Average 3.0% upfront) </t>
  </si>
  <si>
    <t>% of Farm Loans Converted to SaaS clients</t>
  </si>
  <si>
    <t>Beaverton, OR</t>
  </si>
  <si>
    <t>Model Drivers</t>
  </si>
  <si>
    <t xml:space="preserve">Total Investors / $ Loans Originated </t>
  </si>
  <si>
    <t>SaaS Business Key Assumptions</t>
  </si>
  <si>
    <t>Financing Business Key Assumptions</t>
  </si>
  <si>
    <t>Business Case (1=Base, 2=Upside)</t>
  </si>
  <si>
    <t>1= Base Case is financing only US farms already practicing sustainable agriculture</t>
  </si>
  <si>
    <t>2 = Upside includes financing and services for international farms and transition financing for larger, conventional farms converting to regenerative agriculture over time</t>
  </si>
  <si>
    <t xml:space="preserve">Average Loan Size </t>
  </si>
  <si>
    <t>% Farm Profiles converted to loans</t>
  </si>
  <si>
    <t>% Farm Profiles Converted to SaaS Clients</t>
  </si>
  <si>
    <t>Origination Fee (% of loan size)</t>
  </si>
  <si>
    <t>Annual Loan Servicing Fee (% of loans size)</t>
  </si>
  <si>
    <t>Avg. Diligence Costs per Loan (Repaid by Farmer)</t>
  </si>
  <si>
    <t># of New Farm Profiles Created per Year</t>
  </si>
  <si>
    <t>REAL ESTATE CROWDFUNDING COMPARABLES</t>
  </si>
  <si>
    <t>Drivers</t>
  </si>
  <si>
    <t>Output</t>
  </si>
  <si>
    <t>Cost to Acquire new Farm Profile</t>
  </si>
  <si>
    <r>
      <t>Close Date</t>
    </r>
    <r>
      <rPr>
        <b/>
        <vertAlign val="superscript"/>
        <sz val="12"/>
        <color theme="0"/>
        <rFont val="Avenir Next LT Pro"/>
        <family val="2"/>
      </rPr>
      <t>(1)</t>
    </r>
  </si>
  <si>
    <t>Model Start Date</t>
  </si>
  <si>
    <t>Chief Operating Officer</t>
  </si>
  <si>
    <t>Chief Marketing Officer</t>
  </si>
  <si>
    <t>Cost to Acquire new Retail Investor</t>
  </si>
  <si>
    <t>WORKSHEET COLOR KEY</t>
  </si>
  <si>
    <t>Revenue</t>
  </si>
  <si>
    <t>Expenses</t>
  </si>
  <si>
    <t>Payroll Tax + Benefits (% Salaries)</t>
  </si>
  <si>
    <t xml:space="preserve">Monthly G&amp;A </t>
  </si>
  <si>
    <t>Salaries</t>
  </si>
  <si>
    <t>Employee Salaries</t>
  </si>
  <si>
    <t>First New Loan (Existing Portfolio)</t>
  </si>
  <si>
    <t>First New Loan (Future Portfolio)</t>
  </si>
  <si>
    <t>Non-reimbursable DD (% of total DD costs)</t>
  </si>
  <si>
    <t>SaaS team Bonuses (% SaaS Revenue)</t>
  </si>
  <si>
    <t>Finance team Bonuses (% Financing Revenue)</t>
  </si>
  <si>
    <t>Base Case</t>
  </si>
  <si>
    <t>Upside Case</t>
  </si>
  <si>
    <t>Total Farm Accounts</t>
  </si>
  <si>
    <t>Total Farm Accounts Created</t>
  </si>
  <si>
    <t>/ Employee / Month</t>
  </si>
  <si>
    <t>New Farm Diligence /</t>
  </si>
  <si>
    <t># Institutional Investors (assumes 5% of total are institutions)</t>
  </si>
  <si>
    <t xml:space="preserve">Institutions / Associate </t>
  </si>
  <si>
    <t>VP Investor Relations - TBD</t>
  </si>
  <si>
    <t>VP Risk Management - TBD</t>
  </si>
  <si>
    <t>Loan Originations /</t>
  </si>
  <si>
    <t>Employee / Month</t>
  </si>
  <si>
    <t>Ops Employee</t>
  </si>
  <si>
    <t xml:space="preserve">Loans Outstanding / </t>
  </si>
  <si>
    <t>Loans Outstanding</t>
  </si>
  <si>
    <t>Head of Customer Relations - David Hutcheson</t>
  </si>
  <si>
    <t xml:space="preserve">SaaS Customers </t>
  </si>
  <si>
    <t>VP Marketing - Stevie Benanty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</si>
</sst>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;&quot;--&quot;"/>
    <numFmt numFmtId="165" formatCode="#,##0_);\(#,##0\);&quot;--&quot;_)"/>
    <numFmt numFmtId="166" formatCode="0.0%;\(0.0%\);&quot;--&quot;_)"/>
    <numFmt numFmtId="167" formatCode="&quot;Client&quot;\ 0"/>
    <numFmt numFmtId="168" formatCode="&quot;$150,000 per CIO&quot;"/>
    <numFmt numFmtId="169" formatCode="&quot;$&quot;#,##0_);[Red]\(&quot;$&quot;#,##0\)\ &quot;Annual&quot;"/>
    <numFmt numFmtId="170" formatCode="_(&quot;$&quot;* #,##0_);_(&quot;$&quot;* \(#,##0\);_(&quot;$&quot;* &quot;-&quot;??_);_(@_)"/>
    <numFmt numFmtId="171" formatCode="&quot;$&quot;#,##0&quot;M&quot;"/>
    <numFmt numFmtId="172" formatCode="&quot;$&quot;#,##0"/>
    <numFmt numFmtId="173" formatCode="0.0%"/>
    <numFmt numFmtId="174" formatCode="&quot;$&quot;#,##0.0_);\(&quot;$&quot;#,##0.0\)"/>
    <numFmt numFmtId="175" formatCode="#,##0.0_);\(#,##0.0\)"/>
    <numFmt numFmtId="176" formatCode="mmm\-yyyy&quot;E&quot;"/>
    <numFmt numFmtId="177" formatCode="yyyy"/>
    <numFmt numFmtId="178" formatCode="0_);\(0\)"/>
    <numFmt numFmtId="179" formatCode="[$-409]mmm\-yy;@"/>
    <numFmt numFmtId="180" formatCode="&quot;$&quot;#,##0.0_);\(&quot;$&quot;#,##0.0\);&quot;--&quot;_)"/>
    <numFmt numFmtId="181" formatCode="&quot;$&quot;#,##0.000_);\(&quot;$&quot;#,##0.000\)"/>
    <numFmt numFmtId="182" formatCode="[$-F800]dddd\,\ mmmm\ dd\,\ yyyy"/>
    <numFmt numFmtId="183" formatCode="#"/>
    <numFmt numFmtId="184" formatCode="&quot;$&quot;#,##0.00"/>
    <numFmt numFmtId="185" formatCode="&quot;$&quot;#,##0.0"/>
    <numFmt numFmtId="186" formatCode="0.0\x"/>
    <numFmt numFmtId="187" formatCode="&quot;$&quot;#,##0.0_);\(&quot;$&quot;#,##0.0\);&quot;$--&quot;_)"/>
    <numFmt numFmtId="188" formatCode="#,##0.00000000"/>
    <numFmt numFmtId="189" formatCode="mmm\-yyyy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0"/>
      <name val="Avenir Next LT Pro"/>
      <family val="2"/>
    </font>
    <font>
      <b/>
      <sz val="10"/>
      <color theme="0"/>
      <name val="Avenir Next LT Pro"/>
      <family val="2"/>
    </font>
    <font>
      <b/>
      <vertAlign val="superscript"/>
      <sz val="10"/>
      <color theme="0"/>
      <name val="Avenir Next LT Pro"/>
      <family val="2"/>
    </font>
    <font>
      <vertAlign val="superscript"/>
      <sz val="10"/>
      <color theme="1"/>
      <name val="Avenir Next LT Pro"/>
      <family val="2"/>
    </font>
    <font>
      <b/>
      <u/>
      <sz val="10"/>
      <color theme="1"/>
      <name val="Avenir Next LT Pro"/>
      <family val="2"/>
    </font>
    <font>
      <i/>
      <sz val="10"/>
      <color theme="1"/>
      <name val="Avenir Next LT Pro"/>
      <family val="2"/>
    </font>
    <font>
      <b/>
      <i/>
      <sz val="10"/>
      <color theme="1"/>
      <name val="Avenir Next LT Pro"/>
      <family val="2"/>
    </font>
    <font>
      <b/>
      <sz val="10"/>
      <color rgb="FF053848"/>
      <name val="Avenir Next LT Pro"/>
      <family val="2"/>
    </font>
    <font>
      <sz val="10"/>
      <color rgb="FF053848"/>
      <name val="Avenir Next LT Pro"/>
      <family val="2"/>
    </font>
    <font>
      <sz val="10"/>
      <color rgb="FF0070C0"/>
      <name val="Avenir Next LT Pro"/>
      <family val="2"/>
    </font>
    <font>
      <sz val="10"/>
      <color rgb="FFFF0000"/>
      <name val="Avenir Next LT Pro"/>
      <family val="2"/>
    </font>
    <font>
      <b/>
      <sz val="12"/>
      <color rgb="FF000000"/>
      <name val="Avenir Next LT Pro"/>
      <family val="2"/>
    </font>
    <font>
      <sz val="10"/>
      <color rgb="FF000000"/>
      <name val="Avenir Next LT Pro"/>
      <family val="2"/>
    </font>
    <font>
      <b/>
      <sz val="10"/>
      <color rgb="FF000000"/>
      <name val="Avenir Next LT Pro"/>
      <family val="2"/>
    </font>
    <font>
      <b/>
      <sz val="10"/>
      <name val="Avenir Next LT Pro"/>
      <family val="2"/>
    </font>
    <font>
      <sz val="10"/>
      <name val="Avenir Next LT Pro"/>
      <family val="2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b/>
      <sz val="11"/>
      <color theme="0"/>
      <name val="Avenir Next LT Pro"/>
      <family val="2"/>
    </font>
    <font>
      <b/>
      <i/>
      <sz val="10"/>
      <color rgb="FF053848"/>
      <name val="Avenir Next LT Pro"/>
      <family val="2"/>
    </font>
    <font>
      <b/>
      <sz val="14"/>
      <color rgb="FF000000"/>
      <name val="Avenir Next LT Pro"/>
      <family val="2"/>
    </font>
    <font>
      <sz val="11"/>
      <color rgb="FF053848"/>
      <name val="Avenir Next LT Pro"/>
      <family val="2"/>
    </font>
    <font>
      <sz val="14"/>
      <color theme="1"/>
      <name val="Avenir Next LT Pro"/>
      <family val="2"/>
    </font>
    <font>
      <sz val="14"/>
      <color rgb="FF053848"/>
      <name val="Avenir Next LT Pro"/>
      <family val="2"/>
    </font>
    <font>
      <b/>
      <sz val="22"/>
      <color theme="4" tint="-0.499984740745262"/>
      <name val="Avenir Next LT Pro"/>
      <family val="2"/>
    </font>
    <font>
      <sz val="12"/>
      <color theme="1"/>
      <name val="Avenir Next LT Pro"/>
      <family val="2"/>
    </font>
    <font>
      <sz val="10"/>
      <color theme="4"/>
      <name val="Avenir Next LT Pro"/>
      <family val="2"/>
    </font>
    <font>
      <sz val="12"/>
      <name val="Avenir Next LT Pro"/>
      <family val="2"/>
    </font>
    <font>
      <b/>
      <sz val="12"/>
      <color theme="1"/>
      <name val="Avenir Next LT Pro"/>
      <family val="2"/>
    </font>
    <font>
      <sz val="11"/>
      <color theme="0"/>
      <name val="Avenir Next LT Pro"/>
      <family val="2"/>
    </font>
    <font>
      <sz val="11"/>
      <color rgb="FF0070C0"/>
      <name val="Avenir Next LT Pro"/>
      <family val="2"/>
    </font>
    <font>
      <b/>
      <sz val="10"/>
      <color theme="4"/>
      <name val="Avenir Next LT Pro"/>
      <family val="2"/>
    </font>
    <font>
      <b/>
      <u/>
      <sz val="10"/>
      <color rgb="FF053848"/>
      <name val="Avenir Next LT Pro"/>
      <family val="2"/>
    </font>
    <font>
      <sz val="10"/>
      <color rgb="FF00B050"/>
      <name val="Avenir Next LT Pro"/>
      <family val="2"/>
    </font>
    <font>
      <sz val="10"/>
      <color rgb="FF7030A0"/>
      <name val="Avenir Next LT Pro"/>
      <family val="2"/>
    </font>
    <font>
      <sz val="11"/>
      <color rgb="FF00B050"/>
      <name val="Avenir Next LT Pro"/>
      <family val="2"/>
    </font>
    <font>
      <sz val="11"/>
      <name val="Avenir Next LT Pro"/>
      <family val="2"/>
    </font>
    <font>
      <b/>
      <sz val="10"/>
      <color rgb="FF00B0F0"/>
      <name val="Avenir Next LT Pro"/>
      <family val="2"/>
    </font>
    <font>
      <b/>
      <sz val="11"/>
      <name val="Avenir Next LT Pro"/>
      <family val="2"/>
    </font>
    <font>
      <b/>
      <sz val="12"/>
      <color theme="0"/>
      <name val="Avenir Next LT Pro"/>
      <family val="2"/>
    </font>
    <font>
      <b/>
      <sz val="12"/>
      <name val="Avenir Next LT Pro"/>
      <family val="2"/>
    </font>
    <font>
      <sz val="12"/>
      <color rgb="FF000000"/>
      <name val="Avenir Next LT Pro"/>
      <family val="2"/>
    </font>
    <font>
      <sz val="12"/>
      <color rgb="FF0070C0"/>
      <name val="Avenir Next LT Pro"/>
      <family val="2"/>
    </font>
    <font>
      <b/>
      <sz val="11"/>
      <color rgb="FF0070C0"/>
      <name val="Avenir Next LT Pro"/>
      <family val="2"/>
    </font>
    <font>
      <b/>
      <sz val="11"/>
      <color rgb="FF00B050"/>
      <name val="Avenir Next LT Pro"/>
      <family val="2"/>
    </font>
    <font>
      <i/>
      <sz val="11"/>
      <color theme="1"/>
      <name val="Avenir Next LT Pro"/>
      <family val="2"/>
    </font>
    <font>
      <b/>
      <u/>
      <sz val="11"/>
      <color theme="1"/>
      <name val="Avenir Next LT Pro"/>
      <family val="2"/>
    </font>
    <font>
      <sz val="11"/>
      <color theme="4"/>
      <name val="Avenir Next LT Pro"/>
      <family val="2"/>
    </font>
    <font>
      <b/>
      <sz val="11"/>
      <color rgb="FF053848"/>
      <name val="Avenir Next LT Pro"/>
      <family val="2"/>
    </font>
    <font>
      <b/>
      <sz val="20"/>
      <color rgb="FF053848"/>
      <name val="Avenir Next LT Pro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4"/>
      <name val="Avenir Next LT Pro"/>
      <family val="2"/>
    </font>
    <font>
      <b/>
      <sz val="10"/>
      <color rgb="FF00B050"/>
      <name val="Avenir Next LT Pro"/>
      <family val="2"/>
    </font>
    <font>
      <b/>
      <vertAlign val="superscript"/>
      <sz val="11"/>
      <color theme="1"/>
      <name val="Calibri"/>
      <family val="2"/>
      <scheme val="minor"/>
    </font>
    <font>
      <b/>
      <i/>
      <u/>
      <sz val="10"/>
      <color theme="1"/>
      <name val="Avenir Next LT Pro"/>
      <family val="2"/>
    </font>
    <font>
      <sz val="11"/>
      <color rgb="FF00B050"/>
      <name val="Calibri"/>
      <family val="2"/>
      <scheme val="minor"/>
    </font>
    <font>
      <vertAlign val="superscript"/>
      <sz val="11"/>
      <color theme="1"/>
      <name val="Avenir Next LT Pro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70C0"/>
      <name val="Avenir Next LT Pro"/>
      <family val="2"/>
    </font>
    <font>
      <b/>
      <vertAlign val="superscript"/>
      <sz val="12"/>
      <color rgb="FF000000"/>
      <name val="Avenir Next LT Pro"/>
      <family val="2"/>
    </font>
    <font>
      <b/>
      <vertAlign val="superscript"/>
      <sz val="12"/>
      <color theme="0"/>
      <name val="Avenir Next LT Pro"/>
      <family val="2"/>
    </font>
    <font>
      <i/>
      <sz val="12"/>
      <color theme="1"/>
      <name val="Avenir Next LT Pro"/>
      <family val="2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2060"/>
      <name val="Avenir Next LT Pro"/>
      <family val="2"/>
    </font>
    <font>
      <b/>
      <vertAlign val="superscript"/>
      <sz val="12"/>
      <name val="Avenir Next LT Pro"/>
      <family val="2"/>
    </font>
    <font>
      <b/>
      <sz val="11"/>
      <color rgb="FF7030A0"/>
      <name val="Avenir Next LT Pro"/>
      <family val="2"/>
    </font>
    <font>
      <sz val="12"/>
      <color rgb="FFFF0000"/>
      <name val="Avenir Next LT Pro"/>
      <family val="2"/>
    </font>
    <font>
      <b/>
      <sz val="10"/>
      <color rgb="FF0070C0"/>
      <name val="Avenir Next LT Pro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7030A0"/>
      <name val="Avenir Next LT Pro"/>
      <family val="2"/>
    </font>
  </fonts>
  <fills count="16">
    <fill>
      <patternFill patternType="none"/>
    </fill>
    <fill>
      <patternFill patternType="gray125"/>
    </fill>
    <fill>
      <patternFill patternType="solid">
        <fgColor rgb="FF0538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dotted">
        <color auto="1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theme="0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theme="0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theme="0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ashed">
        <color theme="0"/>
      </bottom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theme="0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theme="0"/>
      </top>
      <bottom style="thin">
        <color theme="0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/>
    <xf numFmtId="43" fontId="2" fillId="0" borderId="0" applyFont="0" applyFill="0" applyBorder="0" applyAlignment="0" applyProtection="0"/>
  </cellStyleXfs>
  <cellXfs count="681">
    <xf numFmtId="0" fontId="0" fillId="0" borderId="0" xfId="0"/>
    <xf numFmtId="0" fontId="0" fillId="0" borderId="3" xfId="0" applyBorder="1"/>
    <xf numFmtId="0" fontId="0" fillId="0" borderId="7" xfId="0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3" borderId="1" xfId="0" applyFont="1" applyFill="1" applyBorder="1" applyAlignment="1">
      <alignment horizontal="centerContinuous"/>
    </xf>
    <xf numFmtId="0" fontId="14" fillId="3" borderId="5" xfId="0" applyFont="1" applyFill="1" applyBorder="1" applyAlignment="1">
      <alignment horizontal="centerContinuous"/>
    </xf>
    <xf numFmtId="3" fontId="14" fillId="9" borderId="0" xfId="0" applyNumberFormat="1" applyFont="1" applyFill="1" applyAlignment="1">
      <alignment horizontal="center"/>
    </xf>
    <xf numFmtId="0" fontId="11" fillId="0" borderId="0" xfId="0" applyFont="1"/>
    <xf numFmtId="0" fontId="11" fillId="4" borderId="0" xfId="0" applyFont="1" applyFill="1" applyBorder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vertical="top"/>
    </xf>
    <xf numFmtId="0" fontId="12" fillId="0" borderId="12" xfId="0" applyFont="1" applyBorder="1"/>
    <xf numFmtId="166" fontId="12" fillId="0" borderId="0" xfId="0" applyNumberFormat="1" applyFont="1" applyAlignment="1">
      <alignment horizontal="right" vertical="top"/>
    </xf>
    <xf numFmtId="166" fontId="12" fillId="0" borderId="4" xfId="0" applyNumberFormat="1" applyFont="1" applyBorder="1" applyAlignment="1">
      <alignment horizontal="right" vertical="top"/>
    </xf>
    <xf numFmtId="0" fontId="12" fillId="0" borderId="4" xfId="0" applyFont="1" applyBorder="1"/>
    <xf numFmtId="0" fontId="17" fillId="0" borderId="0" xfId="0" applyFont="1"/>
    <xf numFmtId="0" fontId="11" fillId="7" borderId="3" xfId="0" applyFont="1" applyFill="1" applyBorder="1"/>
    <xf numFmtId="0" fontId="11" fillId="0" borderId="0" xfId="0" applyFont="1" applyBorder="1" applyAlignment="1">
      <alignment horizontal="center"/>
    </xf>
    <xf numFmtId="0" fontId="17" fillId="0" borderId="4" xfId="0" applyFont="1" applyBorder="1"/>
    <xf numFmtId="7" fontId="12" fillId="0" borderId="0" xfId="0" applyNumberFormat="1" applyFont="1"/>
    <xf numFmtId="0" fontId="11" fillId="10" borderId="3" xfId="0" applyFont="1" applyFill="1" applyBorder="1"/>
    <xf numFmtId="0" fontId="11" fillId="10" borderId="0" xfId="0" applyFont="1" applyFill="1" applyBorder="1"/>
    <xf numFmtId="0" fontId="12" fillId="0" borderId="0" xfId="0" quotePrefix="1" applyFont="1"/>
    <xf numFmtId="0" fontId="20" fillId="8" borderId="0" xfId="0" applyFont="1" applyFill="1"/>
    <xf numFmtId="0" fontId="21" fillId="8" borderId="0" xfId="0" applyFont="1" applyFill="1"/>
    <xf numFmtId="0" fontId="12" fillId="5" borderId="3" xfId="0" applyFont="1" applyFill="1" applyBorder="1"/>
    <xf numFmtId="166" fontId="12" fillId="5" borderId="3" xfId="0" applyNumberFormat="1" applyFont="1" applyFill="1" applyBorder="1" applyAlignment="1">
      <alignment horizontal="right" vertical="top"/>
    </xf>
    <xf numFmtId="166" fontId="12" fillId="5" borderId="6" xfId="0" applyNumberFormat="1" applyFont="1" applyFill="1" applyBorder="1" applyAlignment="1">
      <alignment horizontal="right" vertical="top"/>
    </xf>
    <xf numFmtId="0" fontId="12" fillId="0" borderId="0" xfId="0" applyFont="1" applyFill="1" applyBorder="1"/>
    <xf numFmtId="166" fontId="12" fillId="0" borderId="0" xfId="0" applyNumberFormat="1" applyFont="1" applyFill="1" applyBorder="1" applyAlignment="1">
      <alignment horizontal="right" vertical="top"/>
    </xf>
    <xf numFmtId="166" fontId="12" fillId="0" borderId="4" xfId="0" applyNumberFormat="1" applyFont="1" applyFill="1" applyBorder="1" applyAlignment="1">
      <alignment horizontal="right" vertical="top"/>
    </xf>
    <xf numFmtId="0" fontId="12" fillId="0" borderId="0" xfId="0" applyFont="1" applyFill="1"/>
    <xf numFmtId="166" fontId="12" fillId="0" borderId="0" xfId="0" applyNumberFormat="1" applyFont="1" applyBorder="1" applyAlignment="1">
      <alignment horizontal="right" vertical="top"/>
    </xf>
    <xf numFmtId="166" fontId="22" fillId="0" borderId="4" xfId="0" applyNumberFormat="1" applyFont="1" applyBorder="1" applyAlignment="1">
      <alignment horizontal="right" vertical="top"/>
    </xf>
    <xf numFmtId="0" fontId="11" fillId="5" borderId="3" xfId="0" applyFont="1" applyFill="1" applyBorder="1"/>
    <xf numFmtId="166" fontId="11" fillId="5" borderId="3" xfId="0" applyNumberFormat="1" applyFont="1" applyFill="1" applyBorder="1" applyAlignment="1">
      <alignment horizontal="right" vertical="top"/>
    </xf>
    <xf numFmtId="166" fontId="11" fillId="5" borderId="6" xfId="0" applyNumberFormat="1" applyFont="1" applyFill="1" applyBorder="1" applyAlignment="1">
      <alignment horizontal="right" vertical="top"/>
    </xf>
    <xf numFmtId="0" fontId="23" fillId="0" borderId="0" xfId="0" applyFont="1"/>
    <xf numFmtId="0" fontId="24" fillId="0" borderId="7" xfId="4" applyFont="1" applyBorder="1"/>
    <xf numFmtId="0" fontId="14" fillId="3" borderId="25" xfId="4" applyFont="1" applyFill="1" applyBorder="1"/>
    <xf numFmtId="0" fontId="25" fillId="3" borderId="25" xfId="4" applyFont="1" applyFill="1" applyBorder="1"/>
    <xf numFmtId="0" fontId="25" fillId="0" borderId="0" xfId="4" applyFont="1" applyAlignment="1">
      <alignment horizontal="center"/>
    </xf>
    <xf numFmtId="0" fontId="26" fillId="0" borderId="7" xfId="4" applyFont="1" applyBorder="1" applyAlignment="1">
      <alignment horizontal="center"/>
    </xf>
    <xf numFmtId="0" fontId="29" fillId="0" borderId="0" xfId="0" applyFont="1"/>
    <xf numFmtId="0" fontId="29" fillId="0" borderId="7" xfId="0" applyFont="1" applyBorder="1"/>
    <xf numFmtId="0" fontId="30" fillId="0" borderId="7" xfId="0" applyFont="1" applyBorder="1"/>
    <xf numFmtId="0" fontId="29" fillId="0" borderId="0" xfId="0" applyFont="1" applyAlignment="1">
      <alignment horizontal="left" indent="1"/>
    </xf>
    <xf numFmtId="172" fontId="29" fillId="0" borderId="0" xfId="0" applyNumberFormat="1" applyFont="1"/>
    <xf numFmtId="0" fontId="29" fillId="0" borderId="0" xfId="0" quotePrefix="1" applyFont="1"/>
    <xf numFmtId="0" fontId="14" fillId="3" borderId="37" xfId="0" applyFont="1" applyFill="1" applyBorder="1" applyAlignment="1">
      <alignment horizontal="centerContinuous"/>
    </xf>
    <xf numFmtId="0" fontId="11" fillId="0" borderId="38" xfId="0" applyFont="1" applyBorder="1"/>
    <xf numFmtId="0" fontId="11" fillId="4" borderId="38" xfId="0" applyFont="1" applyFill="1" applyBorder="1"/>
    <xf numFmtId="0" fontId="12" fillId="0" borderId="38" xfId="0" applyFont="1" applyBorder="1"/>
    <xf numFmtId="166" fontId="12" fillId="0" borderId="38" xfId="0" applyNumberFormat="1" applyFont="1" applyBorder="1" applyAlignment="1">
      <alignment horizontal="right" vertical="top"/>
    </xf>
    <xf numFmtId="180" fontId="12" fillId="0" borderId="38" xfId="0" applyNumberFormat="1" applyFont="1" applyBorder="1"/>
    <xf numFmtId="0" fontId="17" fillId="0" borderId="38" xfId="0" applyFont="1" applyBorder="1"/>
    <xf numFmtId="0" fontId="14" fillId="3" borderId="39" xfId="0" applyFont="1" applyFill="1" applyBorder="1" applyAlignment="1">
      <alignment horizontal="centerContinuous"/>
    </xf>
    <xf numFmtId="0" fontId="11" fillId="0" borderId="40" xfId="0" applyFont="1" applyBorder="1"/>
    <xf numFmtId="0" fontId="11" fillId="4" borderId="40" xfId="0" applyFont="1" applyFill="1" applyBorder="1"/>
    <xf numFmtId="0" fontId="12" fillId="0" borderId="40" xfId="0" applyFont="1" applyBorder="1"/>
    <xf numFmtId="166" fontId="12" fillId="0" borderId="40" xfId="0" applyNumberFormat="1" applyFont="1" applyBorder="1" applyAlignment="1">
      <alignment horizontal="right" vertical="top"/>
    </xf>
    <xf numFmtId="180" fontId="12" fillId="0" borderId="40" xfId="0" applyNumberFormat="1" applyFont="1" applyBorder="1"/>
    <xf numFmtId="0" fontId="17" fillId="0" borderId="40" xfId="0" applyFont="1" applyBorder="1"/>
    <xf numFmtId="180" fontId="11" fillId="10" borderId="41" xfId="0" applyNumberFormat="1" applyFont="1" applyFill="1" applyBorder="1"/>
    <xf numFmtId="173" fontId="19" fillId="10" borderId="40" xfId="0" applyNumberFormat="1" applyFont="1" applyFill="1" applyBorder="1"/>
    <xf numFmtId="180" fontId="20" fillId="8" borderId="40" xfId="0" applyNumberFormat="1" applyFont="1" applyFill="1" applyBorder="1"/>
    <xf numFmtId="0" fontId="32" fillId="8" borderId="0" xfId="0" applyFont="1" applyFill="1" applyAlignment="1">
      <alignment horizontal="left" indent="1"/>
    </xf>
    <xf numFmtId="0" fontId="19" fillId="10" borderId="0" xfId="0" applyFont="1" applyFill="1" applyBorder="1" applyAlignment="1">
      <alignment horizontal="left" indent="1"/>
    </xf>
    <xf numFmtId="0" fontId="11" fillId="7" borderId="0" xfId="0" applyFont="1" applyFill="1" applyBorder="1"/>
    <xf numFmtId="180" fontId="11" fillId="7" borderId="38" xfId="0" applyNumberFormat="1" applyFont="1" applyFill="1" applyBorder="1"/>
    <xf numFmtId="180" fontId="11" fillId="7" borderId="40" xfId="0" applyNumberFormat="1" applyFont="1" applyFill="1" applyBorder="1"/>
    <xf numFmtId="173" fontId="19" fillId="7" borderId="40" xfId="0" applyNumberFormat="1" applyFont="1" applyFill="1" applyBorder="1"/>
    <xf numFmtId="0" fontId="11" fillId="8" borderId="0" xfId="0" applyFont="1" applyFill="1" applyBorder="1"/>
    <xf numFmtId="180" fontId="11" fillId="8" borderId="38" xfId="0" applyNumberFormat="1" applyFont="1" applyFill="1" applyBorder="1"/>
    <xf numFmtId="0" fontId="19" fillId="8" borderId="0" xfId="0" applyFont="1" applyFill="1" applyBorder="1"/>
    <xf numFmtId="173" fontId="19" fillId="8" borderId="40" xfId="0" applyNumberFormat="1" applyFont="1" applyFill="1" applyBorder="1"/>
    <xf numFmtId="0" fontId="30" fillId="0" borderId="3" xfId="0" applyFont="1" applyBorder="1"/>
    <xf numFmtId="0" fontId="33" fillId="0" borderId="7" xfId="4" applyFont="1" applyBorder="1"/>
    <xf numFmtId="0" fontId="29" fillId="0" borderId="15" xfId="0" applyFont="1" applyBorder="1"/>
    <xf numFmtId="0" fontId="29" fillId="0" borderId="3" xfId="0" applyFont="1" applyBorder="1"/>
    <xf numFmtId="0" fontId="29" fillId="0" borderId="26" xfId="0" applyFont="1" applyBorder="1"/>
    <xf numFmtId="0" fontId="29" fillId="0" borderId="16" xfId="0" applyFont="1" applyBorder="1"/>
    <xf numFmtId="0" fontId="29" fillId="0" borderId="0" xfId="0" applyFont="1" applyBorder="1"/>
    <xf numFmtId="0" fontId="29" fillId="0" borderId="27" xfId="0" applyFont="1" applyBorder="1"/>
    <xf numFmtId="0" fontId="34" fillId="0" borderId="0" xfId="0" applyFont="1" applyBorder="1"/>
    <xf numFmtId="0" fontId="29" fillId="0" borderId="17" xfId="0" applyFont="1" applyBorder="1"/>
    <xf numFmtId="0" fontId="29" fillId="0" borderId="28" xfId="0" applyFont="1" applyBorder="1"/>
    <xf numFmtId="170" fontId="37" fillId="0" borderId="7" xfId="3" applyNumberFormat="1" applyFont="1" applyBorder="1"/>
    <xf numFmtId="0" fontId="38" fillId="0" borderId="7" xfId="2" applyFont="1" applyBorder="1"/>
    <xf numFmtId="0" fontId="38" fillId="0" borderId="0" xfId="2" applyFont="1"/>
    <xf numFmtId="170" fontId="37" fillId="0" borderId="0" xfId="3" applyNumberFormat="1" applyFont="1"/>
    <xf numFmtId="170" fontId="29" fillId="0" borderId="0" xfId="3" applyNumberFormat="1" applyFont="1"/>
    <xf numFmtId="181" fontId="29" fillId="0" borderId="0" xfId="0" applyNumberFormat="1" applyFont="1"/>
    <xf numFmtId="7" fontId="29" fillId="0" borderId="0" xfId="0" applyNumberFormat="1" applyFont="1"/>
    <xf numFmtId="0" fontId="41" fillId="0" borderId="3" xfId="2" applyFont="1" applyBorder="1"/>
    <xf numFmtId="170" fontId="41" fillId="0" borderId="3" xfId="3" applyNumberFormat="1" applyFont="1" applyBorder="1"/>
    <xf numFmtId="0" fontId="41" fillId="0" borderId="0" xfId="2" applyFont="1" applyFill="1"/>
    <xf numFmtId="0" fontId="41" fillId="0" borderId="0" xfId="2" applyFont="1"/>
    <xf numFmtId="170" fontId="38" fillId="0" borderId="0" xfId="2" applyNumberFormat="1" applyFont="1"/>
    <xf numFmtId="0" fontId="41" fillId="0" borderId="0" xfId="0" applyFont="1" applyAlignment="1">
      <alignment horizontal="left"/>
    </xf>
    <xf numFmtId="0" fontId="11" fillId="0" borderId="7" xfId="0" applyFont="1" applyBorder="1"/>
    <xf numFmtId="0" fontId="12" fillId="0" borderId="7" xfId="0" applyFont="1" applyBorder="1"/>
    <xf numFmtId="0" fontId="4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/>
    <xf numFmtId="0" fontId="14" fillId="3" borderId="21" xfId="0" applyFont="1" applyFill="1" applyBorder="1" applyAlignment="1">
      <alignment horizontal="centerContinuous"/>
    </xf>
    <xf numFmtId="0" fontId="14" fillId="3" borderId="0" xfId="0" applyFont="1" applyFill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20" xfId="0" applyFont="1" applyBorder="1"/>
    <xf numFmtId="0" fontId="17" fillId="0" borderId="0" xfId="0" applyFont="1" applyBorder="1"/>
    <xf numFmtId="0" fontId="11" fillId="0" borderId="0" xfId="0" applyFont="1" applyBorder="1"/>
    <xf numFmtId="0" fontId="29" fillId="0" borderId="35" xfId="0" applyFont="1" applyBorder="1"/>
    <xf numFmtId="0" fontId="11" fillId="4" borderId="3" xfId="0" applyFont="1" applyFill="1" applyBorder="1"/>
    <xf numFmtId="0" fontId="11" fillId="4" borderId="22" xfId="0" applyFont="1" applyFill="1" applyBorder="1"/>
    <xf numFmtId="0" fontId="30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 horizontal="right" vertical="top"/>
    </xf>
    <xf numFmtId="0" fontId="12" fillId="0" borderId="20" xfId="0" applyFont="1" applyBorder="1"/>
    <xf numFmtId="0" fontId="11" fillId="0" borderId="20" xfId="0" applyFont="1" applyBorder="1"/>
    <xf numFmtId="165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14" fillId="3" borderId="1" xfId="0" applyNumberFormat="1" applyFont="1" applyFill="1" applyBorder="1" applyAlignment="1">
      <alignment horizontal="centerContinuous"/>
    </xf>
    <xf numFmtId="14" fontId="44" fillId="3" borderId="1" xfId="0" applyNumberFormat="1" applyFont="1" applyFill="1" applyBorder="1" applyAlignment="1">
      <alignment horizontal="center"/>
    </xf>
    <xf numFmtId="14" fontId="14" fillId="3" borderId="9" xfId="0" applyNumberFormat="1" applyFont="1" applyFill="1" applyBorder="1" applyAlignment="1">
      <alignment horizontal="centerContinuous"/>
    </xf>
    <xf numFmtId="176" fontId="14" fillId="3" borderId="0" xfId="0" applyNumberFormat="1" applyFont="1" applyFill="1" applyAlignment="1">
      <alignment horizontal="center"/>
    </xf>
    <xf numFmtId="176" fontId="14" fillId="3" borderId="12" xfId="0" applyNumberFormat="1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7" xfId="0" applyNumberFormat="1" applyFont="1" applyFill="1" applyBorder="1"/>
    <xf numFmtId="164" fontId="13" fillId="2" borderId="13" xfId="0" applyNumberFormat="1" applyFont="1" applyFill="1" applyBorder="1"/>
    <xf numFmtId="164" fontId="13" fillId="2" borderId="10" xfId="0" applyNumberFormat="1" applyFont="1" applyFill="1" applyBorder="1"/>
    <xf numFmtId="164" fontId="12" fillId="0" borderId="0" xfId="0" applyNumberFormat="1" applyFont="1"/>
    <xf numFmtId="164" fontId="12" fillId="0" borderId="12" xfId="0" applyNumberFormat="1" applyFont="1" applyBorder="1"/>
    <xf numFmtId="164" fontId="12" fillId="0" borderId="8" xfId="0" applyNumberFormat="1" applyFont="1" applyBorder="1"/>
    <xf numFmtId="6" fontId="45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left"/>
    </xf>
    <xf numFmtId="172" fontId="46" fillId="0" borderId="0" xfId="0" applyNumberFormat="1" applyFont="1" applyAlignment="1">
      <alignment horizontal="center"/>
    </xf>
    <xf numFmtId="0" fontId="12" fillId="0" borderId="0" xfId="0" applyFont="1"/>
    <xf numFmtId="172" fontId="4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left"/>
    </xf>
    <xf numFmtId="0" fontId="12" fillId="0" borderId="12" xfId="0" applyFont="1" applyBorder="1"/>
    <xf numFmtId="0" fontId="12" fillId="0" borderId="8" xfId="0" applyFont="1" applyBorder="1"/>
    <xf numFmtId="0" fontId="12" fillId="0" borderId="0" xfId="0" applyFont="1" applyBorder="1"/>
    <xf numFmtId="165" fontId="12" fillId="0" borderId="0" xfId="0" applyNumberFormat="1" applyFont="1" applyBorder="1"/>
    <xf numFmtId="0" fontId="11" fillId="4" borderId="3" xfId="0" applyFont="1" applyFill="1" applyBorder="1"/>
    <xf numFmtId="0" fontId="44" fillId="4" borderId="3" xfId="0" applyFont="1" applyFill="1" applyBorder="1" applyAlignment="1">
      <alignment horizontal="center"/>
    </xf>
    <xf numFmtId="6" fontId="39" fillId="0" borderId="0" xfId="0" applyNumberFormat="1" applyFont="1" applyAlignment="1">
      <alignment horizontal="center"/>
    </xf>
    <xf numFmtId="0" fontId="28" fillId="0" borderId="0" xfId="0" applyFont="1"/>
    <xf numFmtId="3" fontId="11" fillId="0" borderId="0" xfId="0" applyNumberFormat="1" applyFont="1" applyAlignment="1">
      <alignment horizontal="center"/>
    </xf>
    <xf numFmtId="0" fontId="12" fillId="0" borderId="8" xfId="0" applyFont="1" applyBorder="1"/>
    <xf numFmtId="0" fontId="13" fillId="2" borderId="7" xfId="0" applyFont="1" applyFill="1" applyBorder="1" applyAlignment="1">
      <alignment horizontal="center"/>
    </xf>
    <xf numFmtId="0" fontId="11" fillId="4" borderId="4" xfId="0" applyFont="1" applyFill="1" applyBorder="1"/>
    <xf numFmtId="172" fontId="48" fillId="0" borderId="0" xfId="0" applyNumberFormat="1" applyFont="1"/>
    <xf numFmtId="0" fontId="12" fillId="0" borderId="0" xfId="0" applyFont="1" applyBorder="1"/>
    <xf numFmtId="0" fontId="12" fillId="9" borderId="0" xfId="0" applyFont="1" applyFill="1"/>
    <xf numFmtId="0" fontId="20" fillId="8" borderId="0" xfId="0" applyFont="1" applyFill="1"/>
    <xf numFmtId="3" fontId="50" fillId="3" borderId="0" xfId="0" applyNumberFormat="1" applyFont="1" applyFill="1" applyAlignment="1">
      <alignment horizontal="center"/>
    </xf>
    <xf numFmtId="178" fontId="12" fillId="0" borderId="0" xfId="0" applyNumberFormat="1" applyFont="1" applyBorder="1" applyAlignment="1">
      <alignment horizontal="right" vertical="top"/>
    </xf>
    <xf numFmtId="0" fontId="11" fillId="10" borderId="3" xfId="0" applyFont="1" applyFill="1" applyBorder="1"/>
    <xf numFmtId="0" fontId="12" fillId="0" borderId="0" xfId="2" applyFont="1" applyAlignment="1">
      <alignment horizontal="centerContinuous"/>
    </xf>
    <xf numFmtId="0" fontId="52" fillId="3" borderId="24" xfId="2" applyFont="1" applyFill="1" applyBorder="1" applyAlignment="1">
      <alignment horizontal="center" vertical="center"/>
    </xf>
    <xf numFmtId="0" fontId="54" fillId="0" borderId="0" xfId="4" applyFont="1"/>
    <xf numFmtId="171" fontId="55" fillId="0" borderId="0" xfId="4" applyNumberFormat="1" applyFont="1"/>
    <xf numFmtId="0" fontId="55" fillId="0" borderId="0" xfId="0" applyFont="1"/>
    <xf numFmtId="0" fontId="38" fillId="0" borderId="0" xfId="0" applyFont="1"/>
    <xf numFmtId="171" fontId="40" fillId="0" borderId="0" xfId="4" applyNumberFormat="1" applyFont="1"/>
    <xf numFmtId="171" fontId="55" fillId="0" borderId="0" xfId="4" applyNumberFormat="1" applyFont="1" applyFill="1"/>
    <xf numFmtId="171" fontId="40" fillId="0" borderId="0" xfId="4" applyNumberFormat="1" applyFont="1" applyFill="1"/>
    <xf numFmtId="0" fontId="24" fillId="8" borderId="42" xfId="4" applyFont="1" applyFill="1" applyBorder="1"/>
    <xf numFmtId="171" fontId="41" fillId="8" borderId="36" xfId="0" applyNumberFormat="1" applyFont="1" applyFill="1" applyBorder="1"/>
    <xf numFmtId="183" fontId="41" fillId="8" borderId="36" xfId="0" applyNumberFormat="1" applyFont="1" applyFill="1" applyBorder="1"/>
    <xf numFmtId="171" fontId="53" fillId="8" borderId="43" xfId="0" applyNumberFormat="1" applyFont="1" applyFill="1" applyBorder="1"/>
    <xf numFmtId="0" fontId="56" fillId="0" borderId="0" xfId="0" applyFont="1"/>
    <xf numFmtId="0" fontId="51" fillId="0" borderId="0" xfId="0" applyFont="1"/>
    <xf numFmtId="0" fontId="57" fillId="0" borderId="0" xfId="0" applyFont="1"/>
    <xf numFmtId="0" fontId="56" fillId="7" borderId="0" xfId="0" applyFont="1" applyFill="1"/>
    <xf numFmtId="0" fontId="11" fillId="9" borderId="0" xfId="0" applyFont="1" applyFill="1"/>
    <xf numFmtId="0" fontId="11" fillId="9" borderId="20" xfId="0" applyFont="1" applyFill="1" applyBorder="1"/>
    <xf numFmtId="0" fontId="12" fillId="9" borderId="0" xfId="0" applyFont="1" applyFill="1" applyAlignment="1">
      <alignment horizontal="center"/>
    </xf>
    <xf numFmtId="0" fontId="17" fillId="9" borderId="0" xfId="0" applyFont="1" applyFill="1"/>
    <xf numFmtId="0" fontId="11" fillId="9" borderId="0" xfId="0" applyFont="1" applyFill="1"/>
    <xf numFmtId="0" fontId="17" fillId="9" borderId="20" xfId="0" applyFont="1" applyFill="1" applyBorder="1"/>
    <xf numFmtId="0" fontId="29" fillId="9" borderId="0" xfId="0" applyFont="1" applyFill="1"/>
    <xf numFmtId="0" fontId="43" fillId="9" borderId="0" xfId="0" applyFont="1" applyFill="1" applyBorder="1" applyAlignment="1">
      <alignment horizontal="center"/>
    </xf>
    <xf numFmtId="0" fontId="12" fillId="9" borderId="20" xfId="0" applyFont="1" applyFill="1" applyBorder="1"/>
    <xf numFmtId="0" fontId="30" fillId="9" borderId="0" xfId="0" applyFont="1" applyFill="1" applyAlignment="1">
      <alignment horizontal="center"/>
    </xf>
    <xf numFmtId="0" fontId="11" fillId="9" borderId="20" xfId="0" applyFont="1" applyFill="1" applyBorder="1" applyAlignment="1">
      <alignment horizontal="center"/>
    </xf>
    <xf numFmtId="165" fontId="27" fillId="9" borderId="0" xfId="0" applyNumberFormat="1" applyFont="1" applyFill="1" applyBorder="1" applyAlignment="1">
      <alignment horizontal="right" vertical="top"/>
    </xf>
    <xf numFmtId="0" fontId="29" fillId="9" borderId="0" xfId="0" applyFont="1" applyFill="1" applyBorder="1"/>
    <xf numFmtId="0" fontId="46" fillId="0" borderId="0" xfId="0" applyFont="1"/>
    <xf numFmtId="172" fontId="11" fillId="4" borderId="11" xfId="0" applyNumberFormat="1" applyFont="1" applyFill="1" applyBorder="1"/>
    <xf numFmtId="172" fontId="11" fillId="4" borderId="3" xfId="0" applyNumberFormat="1" applyFont="1" applyFill="1" applyBorder="1"/>
    <xf numFmtId="172" fontId="11" fillId="4" borderId="14" xfId="0" applyNumberFormat="1" applyFont="1" applyFill="1" applyBorder="1"/>
    <xf numFmtId="3" fontId="12" fillId="0" borderId="0" xfId="0" applyNumberFormat="1" applyFont="1"/>
    <xf numFmtId="184" fontId="12" fillId="0" borderId="0" xfId="0" applyNumberFormat="1" applyFont="1"/>
    <xf numFmtId="3" fontId="11" fillId="7" borderId="3" xfId="0" applyNumberFormat="1" applyFont="1" applyFill="1" applyBorder="1"/>
    <xf numFmtId="3" fontId="17" fillId="0" borderId="0" xfId="0" applyNumberFormat="1" applyFont="1"/>
    <xf numFmtId="3" fontId="12" fillId="0" borderId="0" xfId="0" applyNumberFormat="1" applyFont="1" applyAlignment="1">
      <alignment vertical="top"/>
    </xf>
    <xf numFmtId="3" fontId="11" fillId="10" borderId="3" xfId="0" applyNumberFormat="1" applyFont="1" applyFill="1" applyBorder="1"/>
    <xf numFmtId="3" fontId="12" fillId="0" borderId="0" xfId="0" applyNumberFormat="1" applyFont="1" applyBorder="1" applyAlignment="1">
      <alignment vertical="top"/>
    </xf>
    <xf numFmtId="3" fontId="20" fillId="8" borderId="0" xfId="0" applyNumberFormat="1" applyFont="1" applyFill="1"/>
    <xf numFmtId="0" fontId="51" fillId="11" borderId="0" xfId="0" applyFont="1" applyFill="1"/>
    <xf numFmtId="0" fontId="51" fillId="8" borderId="0" xfId="0" applyFont="1" applyFill="1"/>
    <xf numFmtId="169" fontId="39" fillId="12" borderId="20" xfId="0" applyNumberFormat="1" applyFont="1" applyFill="1" applyBorder="1" applyAlignment="1">
      <alignment horizontal="center"/>
    </xf>
    <xf numFmtId="0" fontId="43" fillId="12" borderId="23" xfId="0" applyFont="1" applyFill="1" applyBorder="1" applyAlignment="1">
      <alignment horizontal="center"/>
    </xf>
    <xf numFmtId="169" fontId="39" fillId="12" borderId="44" xfId="0" applyNumberFormat="1" applyFont="1" applyFill="1" applyBorder="1" applyAlignment="1">
      <alignment horizontal="center"/>
    </xf>
    <xf numFmtId="6" fontId="39" fillId="12" borderId="44" xfId="0" applyNumberFormat="1" applyFont="1" applyFill="1" applyBorder="1" applyAlignment="1">
      <alignment horizontal="center"/>
    </xf>
    <xf numFmtId="6" fontId="39" fillId="12" borderId="45" xfId="0" applyNumberFormat="1" applyFont="1" applyFill="1" applyBorder="1" applyAlignment="1">
      <alignment horizontal="center"/>
    </xf>
    <xf numFmtId="169" fontId="39" fillId="12" borderId="45" xfId="0" applyNumberFormat="1" applyFont="1" applyFill="1" applyBorder="1" applyAlignment="1">
      <alignment horizontal="center"/>
    </xf>
    <xf numFmtId="0" fontId="29" fillId="12" borderId="31" xfId="0" applyFont="1" applyFill="1" applyBorder="1"/>
    <xf numFmtId="0" fontId="29" fillId="12" borderId="33" xfId="0" applyFont="1" applyFill="1" applyBorder="1"/>
    <xf numFmtId="172" fontId="12" fillId="0" borderId="40" xfId="0" applyNumberFormat="1" applyFont="1" applyBorder="1" applyAlignment="1">
      <alignment vertical="top"/>
    </xf>
    <xf numFmtId="0" fontId="30" fillId="0" borderId="0" xfId="0" applyFont="1"/>
    <xf numFmtId="0" fontId="42" fillId="0" borderId="0" xfId="0" applyFont="1" applyAlignment="1">
      <alignment horizontal="center"/>
    </xf>
    <xf numFmtId="0" fontId="31" fillId="3" borderId="1" xfId="0" applyFont="1" applyFill="1" applyBorder="1" applyAlignment="1">
      <alignment horizontal="centerContinuous"/>
    </xf>
    <xf numFmtId="0" fontId="31" fillId="3" borderId="2" xfId="0" applyFont="1" applyFill="1" applyBorder="1" applyAlignment="1">
      <alignment horizontal="centerContinuous"/>
    </xf>
    <xf numFmtId="0" fontId="31" fillId="3" borderId="5" xfId="0" applyFont="1" applyFill="1" applyBorder="1" applyAlignment="1">
      <alignment horizontal="centerContinuous"/>
    </xf>
    <xf numFmtId="0" fontId="31" fillId="3" borderId="0" xfId="0" applyFont="1" applyFill="1" applyAlignment="1">
      <alignment horizontal="center"/>
    </xf>
    <xf numFmtId="0" fontId="31" fillId="3" borderId="12" xfId="0" applyFont="1" applyFill="1" applyBorder="1" applyAlignment="1">
      <alignment horizontal="center"/>
    </xf>
    <xf numFmtId="176" fontId="31" fillId="3" borderId="0" xfId="0" applyNumberFormat="1" applyFont="1" applyFill="1" applyAlignment="1">
      <alignment horizontal="center"/>
    </xf>
    <xf numFmtId="176" fontId="31" fillId="3" borderId="12" xfId="0" applyNumberFormat="1" applyFont="1" applyFill="1" applyBorder="1" applyAlignment="1">
      <alignment horizontal="center"/>
    </xf>
    <xf numFmtId="0" fontId="30" fillId="4" borderId="0" xfId="0" applyFont="1" applyFill="1" applyBorder="1"/>
    <xf numFmtId="0" fontId="30" fillId="4" borderId="12" xfId="0" applyFont="1" applyFill="1" applyBorder="1"/>
    <xf numFmtId="0" fontId="30" fillId="4" borderId="4" xfId="0" applyFont="1" applyFill="1" applyBorder="1"/>
    <xf numFmtId="0" fontId="29" fillId="0" borderId="12" xfId="0" applyFont="1" applyBorder="1"/>
    <xf numFmtId="178" fontId="48" fillId="0" borderId="0" xfId="0" applyNumberFormat="1" applyFont="1" applyBorder="1" applyAlignment="1">
      <alignment horizontal="right" vertical="top"/>
    </xf>
    <xf numFmtId="0" fontId="59" fillId="0" borderId="12" xfId="0" applyFont="1" applyBorder="1"/>
    <xf numFmtId="0" fontId="29" fillId="0" borderId="4" xfId="0" applyFont="1" applyBorder="1"/>
    <xf numFmtId="0" fontId="59" fillId="0" borderId="0" xfId="0" applyFont="1"/>
    <xf numFmtId="0" fontId="30" fillId="7" borderId="3" xfId="0" applyFont="1" applyFill="1" applyBorder="1"/>
    <xf numFmtId="0" fontId="30" fillId="7" borderId="14" xfId="0" applyFont="1" applyFill="1" applyBorder="1"/>
    <xf numFmtId="0" fontId="30" fillId="0" borderId="0" xfId="0" applyFont="1" applyBorder="1" applyAlignment="1">
      <alignment horizontal="center"/>
    </xf>
    <xf numFmtId="0" fontId="58" fillId="0" borderId="0" xfId="0" applyFont="1" applyAlignment="1">
      <alignment horizontal="right"/>
    </xf>
    <xf numFmtId="9" fontId="29" fillId="0" borderId="0" xfId="0" applyNumberFormat="1" applyFont="1" applyBorder="1"/>
    <xf numFmtId="165" fontId="48" fillId="0" borderId="0" xfId="0" applyNumberFormat="1" applyFont="1" applyFill="1" applyBorder="1"/>
    <xf numFmtId="165" fontId="49" fillId="0" borderId="0" xfId="0" applyNumberFormat="1" applyFont="1" applyFill="1" applyBorder="1"/>
    <xf numFmtId="9" fontId="29" fillId="0" borderId="12" xfId="0" applyNumberFormat="1" applyFont="1" applyBorder="1"/>
    <xf numFmtId="165" fontId="60" fillId="0" borderId="0" xfId="0" applyNumberFormat="1" applyFont="1" applyFill="1" applyBorder="1"/>
    <xf numFmtId="168" fontId="42" fillId="0" borderId="0" xfId="0" applyNumberFormat="1" applyFont="1" applyAlignment="1">
      <alignment horizontal="center"/>
    </xf>
    <xf numFmtId="0" fontId="30" fillId="10" borderId="3" xfId="0" applyFont="1" applyFill="1" applyBorder="1"/>
    <xf numFmtId="0" fontId="30" fillId="10" borderId="14" xfId="0" applyFont="1" applyFill="1" applyBorder="1"/>
    <xf numFmtId="165" fontId="30" fillId="10" borderId="3" xfId="0" applyNumberFormat="1" applyFont="1" applyFill="1" applyBorder="1"/>
    <xf numFmtId="0" fontId="30" fillId="0" borderId="0" xfId="0" applyFont="1" applyFill="1" applyBorder="1"/>
    <xf numFmtId="0" fontId="30" fillId="0" borderId="12" xfId="0" applyFont="1" applyFill="1" applyBorder="1"/>
    <xf numFmtId="0" fontId="29" fillId="0" borderId="0" xfId="0" applyFont="1" applyFill="1"/>
    <xf numFmtId="9" fontId="48" fillId="7" borderId="23" xfId="0" applyNumberFormat="1" applyFont="1" applyFill="1" applyBorder="1" applyAlignment="1">
      <alignment horizontal="center"/>
    </xf>
    <xf numFmtId="0" fontId="30" fillId="0" borderId="12" xfId="0" applyFont="1" applyBorder="1"/>
    <xf numFmtId="0" fontId="60" fillId="0" borderId="0" xfId="0" applyFont="1"/>
    <xf numFmtId="0" fontId="49" fillId="0" borderId="0" xfId="0" applyFont="1"/>
    <xf numFmtId="0" fontId="61" fillId="8" borderId="0" xfId="0" applyFont="1" applyFill="1"/>
    <xf numFmtId="0" fontId="61" fillId="8" borderId="12" xfId="0" applyFont="1" applyFill="1" applyBorder="1"/>
    <xf numFmtId="172" fontId="61" fillId="8" borderId="0" xfId="0" applyNumberFormat="1" applyFont="1" applyFill="1"/>
    <xf numFmtId="0" fontId="29" fillId="0" borderId="0" xfId="0" quotePrefix="1" applyFont="1" applyAlignment="1">
      <alignment horizontal="left" indent="1"/>
    </xf>
    <xf numFmtId="0" fontId="0" fillId="0" borderId="0" xfId="0" applyFont="1"/>
    <xf numFmtId="37" fontId="12" fillId="0" borderId="4" xfId="0" applyNumberFormat="1" applyFont="1" applyBorder="1"/>
    <xf numFmtId="37" fontId="12" fillId="0" borderId="0" xfId="0" applyNumberFormat="1" applyFont="1" applyBorder="1"/>
    <xf numFmtId="37" fontId="11" fillId="10" borderId="3" xfId="0" applyNumberFormat="1" applyFont="1" applyFill="1" applyBorder="1"/>
    <xf numFmtId="37" fontId="29" fillId="0" borderId="4" xfId="0" applyNumberFormat="1" applyFont="1" applyBorder="1"/>
    <xf numFmtId="37" fontId="29" fillId="0" borderId="0" xfId="0" applyNumberFormat="1" applyFont="1"/>
    <xf numFmtId="37" fontId="58" fillId="0" borderId="4" xfId="0" applyNumberFormat="1" applyFont="1" applyBorder="1" applyAlignment="1">
      <alignment horizontal="right"/>
    </xf>
    <xf numFmtId="37" fontId="58" fillId="0" borderId="0" xfId="0" applyNumberFormat="1" applyFont="1" applyAlignment="1">
      <alignment horizontal="right"/>
    </xf>
    <xf numFmtId="37" fontId="29" fillId="0" borderId="8" xfId="0" applyNumberFormat="1" applyFont="1" applyBorder="1"/>
    <xf numFmtId="37" fontId="48" fillId="0" borderId="8" xfId="0" applyNumberFormat="1" applyFont="1" applyFill="1" applyBorder="1"/>
    <xf numFmtId="37" fontId="30" fillId="10" borderId="3" xfId="0" applyNumberFormat="1" applyFont="1" applyFill="1" applyBorder="1"/>
    <xf numFmtId="37" fontId="30" fillId="0" borderId="4" xfId="0" applyNumberFormat="1" applyFont="1" applyFill="1" applyBorder="1"/>
    <xf numFmtId="37" fontId="30" fillId="0" borderId="0" xfId="0" applyNumberFormat="1" applyFont="1" applyFill="1" applyBorder="1"/>
    <xf numFmtId="37" fontId="29" fillId="0" borderId="4" xfId="0" applyNumberFormat="1" applyFont="1" applyFill="1" applyBorder="1"/>
    <xf numFmtId="37" fontId="30" fillId="10" borderId="6" xfId="0" applyNumberFormat="1" applyFont="1" applyFill="1" applyBorder="1"/>
    <xf numFmtId="37" fontId="60" fillId="0" borderId="4" xfId="0" applyNumberFormat="1" applyFont="1" applyBorder="1"/>
    <xf numFmtId="37" fontId="60" fillId="0" borderId="0" xfId="0" applyNumberFormat="1" applyFont="1"/>
    <xf numFmtId="37" fontId="49" fillId="0" borderId="4" xfId="0" applyNumberFormat="1" applyFont="1" applyBorder="1"/>
    <xf numFmtId="37" fontId="49" fillId="0" borderId="0" xfId="0" applyNumberFormat="1" applyFont="1"/>
    <xf numFmtId="37" fontId="60" fillId="9" borderId="0" xfId="0" applyNumberFormat="1" applyFont="1" applyFill="1"/>
    <xf numFmtId="37" fontId="49" fillId="0" borderId="0" xfId="0" applyNumberFormat="1" applyFont="1" applyBorder="1"/>
    <xf numFmtId="37" fontId="61" fillId="8" borderId="4" xfId="0" applyNumberFormat="1" applyFont="1" applyFill="1" applyBorder="1"/>
    <xf numFmtId="37" fontId="61" fillId="8" borderId="0" xfId="0" applyNumberFormat="1" applyFont="1" applyFill="1"/>
    <xf numFmtId="0" fontId="40" fillId="9" borderId="0" xfId="2" applyFont="1" applyFill="1" applyAlignment="1">
      <alignment horizontal="left" indent="1"/>
    </xf>
    <xf numFmtId="0" fontId="62" fillId="0" borderId="0" xfId="2" applyFont="1"/>
    <xf numFmtId="0" fontId="35" fillId="0" borderId="0" xfId="2" applyFont="1" applyAlignment="1">
      <alignment horizontal="right"/>
    </xf>
    <xf numFmtId="182" fontId="36" fillId="0" borderId="0" xfId="2" applyNumberFormat="1" applyFont="1" applyAlignment="1">
      <alignment horizontal="right"/>
    </xf>
    <xf numFmtId="182" fontId="36" fillId="0" borderId="0" xfId="2" applyNumberFormat="1" applyFont="1"/>
    <xf numFmtId="0" fontId="52" fillId="3" borderId="0" xfId="2" applyFont="1" applyFill="1" applyBorder="1" applyAlignment="1">
      <alignment horizontal="center" vertical="center"/>
    </xf>
    <xf numFmtId="10" fontId="0" fillId="0" borderId="0" xfId="0" applyNumberFormat="1"/>
    <xf numFmtId="172" fontId="65" fillId="12" borderId="18" xfId="0" applyNumberFormat="1" applyFont="1" applyFill="1" applyBorder="1"/>
    <xf numFmtId="173" fontId="40" fillId="0" borderId="18" xfId="0" applyNumberFormat="1" applyFont="1" applyBorder="1"/>
    <xf numFmtId="173" fontId="55" fillId="0" borderId="18" xfId="0" applyNumberFormat="1" applyFont="1" applyBorder="1"/>
    <xf numFmtId="14" fontId="40" fillId="9" borderId="0" xfId="2" applyNumberFormat="1" applyFont="1" applyFill="1" applyAlignment="1">
      <alignment horizontal="center"/>
    </xf>
    <xf numFmtId="172" fontId="65" fillId="12" borderId="47" xfId="0" applyNumberFormat="1" applyFont="1" applyFill="1" applyBorder="1"/>
    <xf numFmtId="173" fontId="40" fillId="0" borderId="47" xfId="0" applyNumberFormat="1" applyFont="1" applyBorder="1"/>
    <xf numFmtId="0" fontId="53" fillId="13" borderId="25" xfId="2" applyFont="1" applyFill="1" applyBorder="1" applyAlignment="1">
      <alignment horizontal="left" vertical="center" indent="1"/>
    </xf>
    <xf numFmtId="170" fontId="53" fillId="13" borderId="25" xfId="3" applyNumberFormat="1" applyFont="1" applyFill="1" applyBorder="1" applyAlignment="1">
      <alignment horizontal="left" vertical="center" indent="1"/>
    </xf>
    <xf numFmtId="0" fontId="52" fillId="3" borderId="48" xfId="2" applyFont="1" applyFill="1" applyBorder="1" applyAlignment="1">
      <alignment horizontal="left" vertical="center" indent="1"/>
    </xf>
    <xf numFmtId="170" fontId="52" fillId="3" borderId="48" xfId="3" applyNumberFormat="1" applyFont="1" applyFill="1" applyBorder="1" applyAlignment="1">
      <alignment horizontal="left" vertical="center" indent="1"/>
    </xf>
    <xf numFmtId="173" fontId="55" fillId="0" borderId="47" xfId="0" applyNumberFormat="1" applyFont="1" applyBorder="1"/>
    <xf numFmtId="2" fontId="53" fillId="13" borderId="25" xfId="2" applyNumberFormat="1" applyFont="1" applyFill="1" applyBorder="1" applyAlignment="1">
      <alignment horizontal="left" vertical="center" indent="1"/>
    </xf>
    <xf numFmtId="2" fontId="53" fillId="13" borderId="25" xfId="3" applyNumberFormat="1" applyFont="1" applyFill="1" applyBorder="1" applyAlignment="1">
      <alignment horizontal="left" vertical="center" indent="1"/>
    </xf>
    <xf numFmtId="0" fontId="39" fillId="0" borderId="3" xfId="0" applyFont="1" applyBorder="1" applyAlignment="1">
      <alignment horizontal="center"/>
    </xf>
    <xf numFmtId="14" fontId="13" fillId="0" borderId="3" xfId="0" applyNumberFormat="1" applyFont="1" applyBorder="1" applyAlignment="1">
      <alignment horizontal="center"/>
    </xf>
    <xf numFmtId="164" fontId="12" fillId="0" borderId="0" xfId="0" applyNumberFormat="1" applyFont="1" applyBorder="1"/>
    <xf numFmtId="0" fontId="11" fillId="14" borderId="25" xfId="0" applyFont="1" applyFill="1" applyBorder="1"/>
    <xf numFmtId="6" fontId="45" fillId="14" borderId="25" xfId="0" applyNumberFormat="1" applyFont="1" applyFill="1" applyBorder="1" applyAlignment="1">
      <alignment horizontal="center"/>
    </xf>
    <xf numFmtId="164" fontId="11" fillId="14" borderId="25" xfId="0" applyNumberFormat="1" applyFont="1" applyFill="1" applyBorder="1"/>
    <xf numFmtId="0" fontId="5" fillId="14" borderId="25" xfId="0" applyFont="1" applyFill="1" applyBorder="1"/>
    <xf numFmtId="0" fontId="11" fillId="14" borderId="29" xfId="0" applyFont="1" applyFill="1" applyBorder="1"/>
    <xf numFmtId="164" fontId="11" fillId="14" borderId="30" xfId="0" applyNumberFormat="1" applyFont="1" applyFill="1" applyBorder="1"/>
    <xf numFmtId="14" fontId="46" fillId="0" borderId="0" xfId="0" applyNumberFormat="1" applyFont="1" applyAlignment="1">
      <alignment horizontal="center"/>
    </xf>
    <xf numFmtId="14" fontId="38" fillId="0" borderId="0" xfId="2" applyNumberFormat="1" applyFont="1" applyAlignment="1">
      <alignment horizontal="center"/>
    </xf>
    <xf numFmtId="172" fontId="39" fillId="0" borderId="0" xfId="0" applyNumberFormat="1" applyFont="1"/>
    <xf numFmtId="172" fontId="28" fillId="0" borderId="0" xfId="0" applyNumberFormat="1" applyFont="1"/>
    <xf numFmtId="172" fontId="12" fillId="0" borderId="0" xfId="0" applyNumberFormat="1" applyFont="1"/>
    <xf numFmtId="172" fontId="12" fillId="0" borderId="8" xfId="0" applyNumberFormat="1" applyFont="1" applyBorder="1"/>
    <xf numFmtId="172" fontId="12" fillId="0" borderId="0" xfId="0" applyNumberFormat="1" applyFont="1" applyBorder="1"/>
    <xf numFmtId="14" fontId="38" fillId="0" borderId="0" xfId="2" applyNumberFormat="1" applyFont="1" applyBorder="1" applyAlignment="1">
      <alignment horizontal="center"/>
    </xf>
    <xf numFmtId="173" fontId="40" fillId="0" borderId="19" xfId="0" applyNumberFormat="1" applyFont="1" applyBorder="1"/>
    <xf numFmtId="167" fontId="46" fillId="0" borderId="0" xfId="0" applyNumberFormat="1" applyFont="1" applyAlignment="1">
      <alignment horizontal="left"/>
    </xf>
    <xf numFmtId="14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11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165" fontId="11" fillId="0" borderId="0" xfId="0" applyNumberFormat="1" applyFont="1" applyBorder="1"/>
    <xf numFmtId="165" fontId="11" fillId="0" borderId="0" xfId="0" applyNumberFormat="1" applyFont="1"/>
    <xf numFmtId="165" fontId="11" fillId="0" borderId="8" xfId="0" applyNumberFormat="1" applyFont="1" applyBorder="1"/>
    <xf numFmtId="0" fontId="11" fillId="14" borderId="30" xfId="0" applyFont="1" applyFill="1" applyBorder="1"/>
    <xf numFmtId="165" fontId="47" fillId="0" borderId="0" xfId="0" applyNumberFormat="1" applyFont="1" applyBorder="1"/>
    <xf numFmtId="165" fontId="47" fillId="0" borderId="0" xfId="0" applyNumberFormat="1" applyFont="1"/>
    <xf numFmtId="165" fontId="47" fillId="0" borderId="8" xfId="0" applyNumberFormat="1" applyFont="1" applyBorder="1"/>
    <xf numFmtId="10" fontId="47" fillId="12" borderId="23" xfId="1" applyNumberFormat="1" applyFont="1" applyFill="1" applyBorder="1" applyAlignment="1">
      <alignment horizontal="center"/>
    </xf>
    <xf numFmtId="14" fontId="14" fillId="3" borderId="49" xfId="0" applyNumberFormat="1" applyFont="1" applyFill="1" applyBorder="1" applyAlignment="1">
      <alignment horizontal="centerContinuous"/>
    </xf>
    <xf numFmtId="14" fontId="14" fillId="3" borderId="50" xfId="0" applyNumberFormat="1" applyFont="1" applyFill="1" applyBorder="1" applyAlignment="1">
      <alignment horizontal="centerContinuous"/>
    </xf>
    <xf numFmtId="3" fontId="22" fillId="12" borderId="23" xfId="0" applyNumberFormat="1" applyFont="1" applyFill="1" applyBorder="1" applyAlignment="1">
      <alignment horizontal="center"/>
    </xf>
    <xf numFmtId="167" fontId="28" fillId="0" borderId="0" xfId="0" applyNumberFormat="1" applyFont="1" applyAlignment="1">
      <alignment horizontal="left"/>
    </xf>
    <xf numFmtId="173" fontId="22" fillId="12" borderId="23" xfId="0" applyNumberFormat="1" applyFont="1" applyFill="1" applyBorder="1" applyAlignment="1">
      <alignment horizontal="center"/>
    </xf>
    <xf numFmtId="0" fontId="5" fillId="0" borderId="7" xfId="0" applyFont="1" applyBorder="1"/>
    <xf numFmtId="185" fontId="0" fillId="0" borderId="0" xfId="0" applyNumberFormat="1"/>
    <xf numFmtId="0" fontId="10" fillId="0" borderId="0" xfId="0" applyFont="1"/>
    <xf numFmtId="0" fontId="0" fillId="0" borderId="0" xfId="0" applyAlignment="1">
      <alignment horizontal="right"/>
    </xf>
    <xf numFmtId="0" fontId="5" fillId="0" borderId="3" xfId="0" applyFont="1" applyBorder="1" applyAlignment="1">
      <alignment horizontal="right"/>
    </xf>
    <xf numFmtId="185" fontId="5" fillId="0" borderId="3" xfId="0" applyNumberFormat="1" applyFont="1" applyBorder="1"/>
    <xf numFmtId="10" fontId="5" fillId="0" borderId="3" xfId="0" applyNumberFormat="1" applyFont="1" applyBorder="1"/>
    <xf numFmtId="0" fontId="5" fillId="7" borderId="25" xfId="0" applyFont="1" applyFill="1" applyBorder="1" applyAlignment="1">
      <alignment horizontal="right"/>
    </xf>
    <xf numFmtId="186" fontId="5" fillId="7" borderId="30" xfId="0" applyNumberFormat="1" applyFont="1" applyFill="1" applyBorder="1"/>
    <xf numFmtId="172" fontId="0" fillId="0" borderId="0" xfId="0" applyNumberFormat="1"/>
    <xf numFmtId="0" fontId="5" fillId="0" borderId="3" xfId="0" applyFont="1" applyBorder="1"/>
    <xf numFmtId="0" fontId="10" fillId="0" borderId="0" xfId="0" quotePrefix="1" applyFont="1"/>
    <xf numFmtId="172" fontId="39" fillId="12" borderId="51" xfId="1" applyNumberFormat="1" applyFont="1" applyFill="1" applyBorder="1" applyAlignment="1">
      <alignment horizontal="center"/>
    </xf>
    <xf numFmtId="177" fontId="47" fillId="12" borderId="23" xfId="1" applyNumberFormat="1" applyFont="1" applyFill="1" applyBorder="1" applyAlignment="1">
      <alignment horizontal="center"/>
    </xf>
    <xf numFmtId="5" fontId="12" fillId="0" borderId="0" xfId="0" applyNumberFormat="1" applyFont="1" applyBorder="1"/>
    <xf numFmtId="172" fontId="30" fillId="4" borderId="0" xfId="0" applyNumberFormat="1" applyFont="1" applyFill="1" applyBorder="1"/>
    <xf numFmtId="172" fontId="30" fillId="4" borderId="4" xfId="0" applyNumberFormat="1" applyFont="1" applyFill="1" applyBorder="1"/>
    <xf numFmtId="167" fontId="11" fillId="0" borderId="3" xfId="0" applyNumberFormat="1" applyFont="1" applyBorder="1" applyAlignment="1">
      <alignment horizontal="left"/>
    </xf>
    <xf numFmtId="0" fontId="44" fillId="0" borderId="3" xfId="0" applyFont="1" applyBorder="1" applyAlignment="1">
      <alignment horizontal="center"/>
    </xf>
    <xf numFmtId="165" fontId="11" fillId="0" borderId="3" xfId="0" applyNumberFormat="1" applyFont="1" applyBorder="1"/>
    <xf numFmtId="167" fontId="12" fillId="0" borderId="0" xfId="0" applyNumberFormat="1" applyFont="1" applyAlignment="1">
      <alignment horizontal="left" indent="1"/>
    </xf>
    <xf numFmtId="172" fontId="11" fillId="0" borderId="3" xfId="0" applyNumberFormat="1" applyFont="1" applyBorder="1"/>
    <xf numFmtId="9" fontId="39" fillId="12" borderId="52" xfId="0" applyNumberFormat="1" applyFont="1" applyFill="1" applyBorder="1" applyAlignment="1">
      <alignment horizontal="centerContinuous"/>
    </xf>
    <xf numFmtId="165" fontId="12" fillId="0" borderId="3" xfId="0" applyNumberFormat="1" applyFont="1" applyBorder="1"/>
    <xf numFmtId="5" fontId="11" fillId="4" borderId="3" xfId="0" applyNumberFormat="1" applyFont="1" applyFill="1" applyBorder="1"/>
    <xf numFmtId="5" fontId="48" fillId="0" borderId="4" xfId="0" applyNumberFormat="1" applyFont="1" applyBorder="1"/>
    <xf numFmtId="5" fontId="48" fillId="0" borderId="0" xfId="0" applyNumberFormat="1" applyFont="1" applyBorder="1"/>
    <xf numFmtId="37" fontId="48" fillId="0" borderId="4" xfId="0" applyNumberFormat="1" applyFont="1" applyBorder="1"/>
    <xf numFmtId="37" fontId="48" fillId="0" borderId="0" xfId="0" applyNumberFormat="1" applyFont="1" applyBorder="1"/>
    <xf numFmtId="37" fontId="48" fillId="0" borderId="46" xfId="0" applyNumberFormat="1" applyFont="1" applyBorder="1"/>
    <xf numFmtId="37" fontId="48" fillId="0" borderId="7" xfId="0" applyNumberFormat="1" applyFont="1" applyBorder="1"/>
    <xf numFmtId="5" fontId="30" fillId="7" borderId="3" xfId="0" applyNumberFormat="1" applyFont="1" applyFill="1" applyBorder="1"/>
    <xf numFmtId="0" fontId="14" fillId="3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2" fillId="9" borderId="0" xfId="0" applyFont="1" applyFill="1" applyBorder="1" applyAlignment="1">
      <alignment vertical="top"/>
    </xf>
    <xf numFmtId="0" fontId="11" fillId="9" borderId="0" xfId="0" applyFont="1" applyFill="1" applyBorder="1"/>
    <xf numFmtId="0" fontId="17" fillId="9" borderId="0" xfId="0" applyFont="1" applyFill="1" applyBorder="1"/>
    <xf numFmtId="0" fontId="14" fillId="3" borderId="53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"/>
    </xf>
    <xf numFmtId="0" fontId="17" fillId="0" borderId="35" xfId="0" applyFont="1" applyBorder="1"/>
    <xf numFmtId="3" fontId="12" fillId="0" borderId="35" xfId="0" applyNumberFormat="1" applyFont="1" applyBorder="1" applyAlignment="1">
      <alignment vertical="top"/>
    </xf>
    <xf numFmtId="0" fontId="30" fillId="7" borderId="25" xfId="0" applyFont="1" applyFill="1" applyBorder="1" applyAlignment="1">
      <alignment vertical="center"/>
    </xf>
    <xf numFmtId="0" fontId="30" fillId="7" borderId="55" xfId="0" applyFont="1" applyFill="1" applyBorder="1"/>
    <xf numFmtId="0" fontId="30" fillId="7" borderId="25" xfId="0" applyFont="1" applyFill="1" applyBorder="1"/>
    <xf numFmtId="5" fontId="30" fillId="7" borderId="25" xfId="0" applyNumberFormat="1" applyFont="1" applyFill="1" applyBorder="1"/>
    <xf numFmtId="3" fontId="12" fillId="0" borderId="0" xfId="0" applyNumberFormat="1" applyFont="1" applyBorder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/>
    </xf>
    <xf numFmtId="172" fontId="29" fillId="0" borderId="0" xfId="0" applyNumberFormat="1" applyFont="1" applyBorder="1"/>
    <xf numFmtId="0" fontId="17" fillId="0" borderId="56" xfId="0" applyFont="1" applyBorder="1"/>
    <xf numFmtId="0" fontId="11" fillId="4" borderId="56" xfId="0" applyFont="1" applyFill="1" applyBorder="1"/>
    <xf numFmtId="0" fontId="12" fillId="0" borderId="56" xfId="0" applyFont="1" applyBorder="1"/>
    <xf numFmtId="37" fontId="17" fillId="0" borderId="0" xfId="0" applyNumberFormat="1" applyFont="1" applyBorder="1"/>
    <xf numFmtId="37" fontId="12" fillId="0" borderId="0" xfId="0" applyNumberFormat="1" applyFont="1" applyBorder="1" applyAlignment="1">
      <alignment vertical="top"/>
    </xf>
    <xf numFmtId="37" fontId="20" fillId="8" borderId="0" xfId="0" applyNumberFormat="1" applyFont="1" applyFill="1" applyBorder="1"/>
    <xf numFmtId="0" fontId="14" fillId="3" borderId="4" xfId="0" applyFont="1" applyFill="1" applyBorder="1" applyAlignment="1">
      <alignment horizontal="center"/>
    </xf>
    <xf numFmtId="0" fontId="11" fillId="4" borderId="35" xfId="0" applyFont="1" applyFill="1" applyBorder="1"/>
    <xf numFmtId="3" fontId="12" fillId="0" borderId="4" xfId="0" applyNumberFormat="1" applyFont="1" applyBorder="1" applyAlignment="1">
      <alignment vertical="top"/>
    </xf>
    <xf numFmtId="3" fontId="29" fillId="0" borderId="4" xfId="0" applyNumberFormat="1" applyFont="1" applyBorder="1"/>
    <xf numFmtId="3" fontId="29" fillId="0" borderId="0" xfId="0" applyNumberFormat="1" applyFont="1" applyBorder="1"/>
    <xf numFmtId="3" fontId="29" fillId="0" borderId="35" xfId="0" applyNumberFormat="1" applyFont="1" applyBorder="1"/>
    <xf numFmtId="0" fontId="12" fillId="0" borderId="35" xfId="0" applyFont="1" applyBorder="1"/>
    <xf numFmtId="37" fontId="12" fillId="0" borderId="35" xfId="0" applyNumberFormat="1" applyFont="1" applyBorder="1"/>
    <xf numFmtId="37" fontId="17" fillId="0" borderId="4" xfId="0" applyNumberFormat="1" applyFont="1" applyBorder="1"/>
    <xf numFmtId="37" fontId="17" fillId="0" borderId="35" xfId="0" applyNumberFormat="1" applyFont="1" applyBorder="1"/>
    <xf numFmtId="37" fontId="12" fillId="0" borderId="4" xfId="0" applyNumberFormat="1" applyFont="1" applyBorder="1" applyAlignment="1">
      <alignment vertical="top"/>
    </xf>
    <xf numFmtId="37" fontId="12" fillId="0" borderId="35" xfId="0" applyNumberFormat="1" applyFont="1" applyBorder="1" applyAlignment="1">
      <alignment vertical="top"/>
    </xf>
    <xf numFmtId="37" fontId="11" fillId="10" borderId="6" xfId="0" applyNumberFormat="1" applyFont="1" applyFill="1" applyBorder="1"/>
    <xf numFmtId="37" fontId="11" fillId="10" borderId="54" xfId="0" applyNumberFormat="1" applyFont="1" applyFill="1" applyBorder="1"/>
    <xf numFmtId="37" fontId="20" fillId="8" borderId="4" xfId="0" applyNumberFormat="1" applyFont="1" applyFill="1" applyBorder="1"/>
    <xf numFmtId="37" fontId="20" fillId="8" borderId="35" xfId="0" applyNumberFormat="1" applyFont="1" applyFill="1" applyBorder="1"/>
    <xf numFmtId="3" fontId="46" fillId="0" borderId="4" xfId="0" applyNumberFormat="1" applyFont="1" applyBorder="1" applyAlignment="1">
      <alignment vertical="top"/>
    </xf>
    <xf numFmtId="3" fontId="46" fillId="0" borderId="0" xfId="0" applyNumberFormat="1" applyFont="1" applyBorder="1" applyAlignment="1">
      <alignment vertical="top"/>
    </xf>
    <xf numFmtId="3" fontId="46" fillId="0" borderId="35" xfId="0" applyNumberFormat="1" applyFont="1" applyBorder="1" applyAlignment="1">
      <alignment vertical="top"/>
    </xf>
    <xf numFmtId="172" fontId="12" fillId="0" borderId="4" xfId="0" applyNumberFormat="1" applyFont="1" applyBorder="1" applyAlignment="1">
      <alignment vertical="top"/>
    </xf>
    <xf numFmtId="172" fontId="12" fillId="0" borderId="0" xfId="0" applyNumberFormat="1" applyFont="1" applyBorder="1" applyAlignment="1">
      <alignment vertical="top"/>
    </xf>
    <xf numFmtId="172" fontId="12" fillId="0" borderId="35" xfId="0" applyNumberFormat="1" applyFont="1" applyBorder="1" applyAlignment="1">
      <alignment vertical="top"/>
    </xf>
    <xf numFmtId="172" fontId="46" fillId="0" borderId="4" xfId="0" applyNumberFormat="1" applyFont="1" applyBorder="1" applyAlignment="1">
      <alignment vertical="top"/>
    </xf>
    <xf numFmtId="172" fontId="46" fillId="0" borderId="0" xfId="0" applyNumberFormat="1" applyFont="1" applyBorder="1" applyAlignment="1">
      <alignment vertical="top"/>
    </xf>
    <xf numFmtId="172" fontId="46" fillId="0" borderId="35" xfId="0" applyNumberFormat="1" applyFont="1" applyBorder="1" applyAlignment="1">
      <alignment vertical="top"/>
    </xf>
    <xf numFmtId="5" fontId="11" fillId="7" borderId="6" xfId="0" applyNumberFormat="1" applyFont="1" applyFill="1" applyBorder="1"/>
    <xf numFmtId="5" fontId="11" fillId="7" borderId="3" xfId="0" applyNumberFormat="1" applyFont="1" applyFill="1" applyBorder="1"/>
    <xf numFmtId="5" fontId="11" fillId="7" borderId="54" xfId="0" applyNumberFormat="1" applyFont="1" applyFill="1" applyBorder="1"/>
    <xf numFmtId="0" fontId="11" fillId="7" borderId="25" xfId="0" applyFont="1" applyFill="1" applyBorder="1"/>
    <xf numFmtId="3" fontId="11" fillId="7" borderId="25" xfId="0" applyNumberFormat="1" applyFont="1" applyFill="1" applyBorder="1"/>
    <xf numFmtId="5" fontId="11" fillId="7" borderId="59" xfId="0" applyNumberFormat="1" applyFont="1" applyFill="1" applyBorder="1"/>
    <xf numFmtId="5" fontId="11" fillId="7" borderId="25" xfId="0" applyNumberFormat="1" applyFont="1" applyFill="1" applyBorder="1"/>
    <xf numFmtId="5" fontId="11" fillId="7" borderId="58" xfId="0" applyNumberFormat="1" applyFont="1" applyFill="1" applyBorder="1"/>
    <xf numFmtId="0" fontId="14" fillId="3" borderId="60" xfId="0" applyFont="1" applyFill="1" applyBorder="1" applyAlignment="1">
      <alignment horizontal="centerContinuous"/>
    </xf>
    <xf numFmtId="0" fontId="11" fillId="7" borderId="56" xfId="0" applyFont="1" applyFill="1" applyBorder="1"/>
    <xf numFmtId="0" fontId="11" fillId="8" borderId="56" xfId="0" applyFont="1" applyFill="1" applyBorder="1"/>
    <xf numFmtId="0" fontId="12" fillId="5" borderId="57" xfId="0" applyFont="1" applyFill="1" applyBorder="1"/>
    <xf numFmtId="0" fontId="12" fillId="0" borderId="56" xfId="0" applyFont="1" applyFill="1" applyBorder="1"/>
    <xf numFmtId="0" fontId="19" fillId="7" borderId="0" xfId="0" applyFont="1" applyFill="1" applyAlignment="1">
      <alignment horizontal="left" indent="1"/>
    </xf>
    <xf numFmtId="0" fontId="50" fillId="3" borderId="1" xfId="0" applyFont="1" applyFill="1" applyBorder="1" applyAlignment="1">
      <alignment horizontal="centerContinuous"/>
    </xf>
    <xf numFmtId="37" fontId="12" fillId="0" borderId="40" xfId="0" applyNumberFormat="1" applyFont="1" applyBorder="1"/>
    <xf numFmtId="0" fontId="68" fillId="0" borderId="0" xfId="0" applyFont="1"/>
    <xf numFmtId="0" fontId="0" fillId="0" borderId="20" xfId="0" applyBorder="1"/>
    <xf numFmtId="169" fontId="39" fillId="0" borderId="20" xfId="0" applyNumberFormat="1" applyFont="1" applyBorder="1" applyAlignment="1">
      <alignment horizontal="center"/>
    </xf>
    <xf numFmtId="0" fontId="29" fillId="0" borderId="20" xfId="0" applyFont="1" applyBorder="1"/>
    <xf numFmtId="6" fontId="39" fillId="12" borderId="61" xfId="0" applyNumberFormat="1" applyFont="1" applyFill="1" applyBorder="1" applyAlignment="1">
      <alignment horizontal="center"/>
    </xf>
    <xf numFmtId="172" fontId="11" fillId="4" borderId="22" xfId="0" applyNumberFormat="1" applyFont="1" applyFill="1" applyBorder="1"/>
    <xf numFmtId="165" fontId="28" fillId="0" borderId="20" xfId="0" applyNumberFormat="1" applyFont="1" applyFill="1" applyBorder="1" applyAlignment="1">
      <alignment horizontal="right" vertical="top"/>
    </xf>
    <xf numFmtId="0" fontId="12" fillId="9" borderId="20" xfId="0" applyFont="1" applyFill="1" applyBorder="1" applyAlignment="1">
      <alignment vertical="top"/>
    </xf>
    <xf numFmtId="165" fontId="28" fillId="9" borderId="20" xfId="0" applyNumberFormat="1" applyFont="1" applyFill="1" applyBorder="1" applyAlignment="1">
      <alignment horizontal="right" vertical="top"/>
    </xf>
    <xf numFmtId="0" fontId="30" fillId="0" borderId="12" xfId="0" applyFont="1" applyBorder="1" applyAlignment="1">
      <alignment horizontal="center"/>
    </xf>
    <xf numFmtId="0" fontId="0" fillId="0" borderId="12" xfId="0" applyBorder="1"/>
    <xf numFmtId="0" fontId="30" fillId="9" borderId="0" xfId="0" applyFont="1" applyFill="1"/>
    <xf numFmtId="184" fontId="69" fillId="12" borderId="23" xfId="0" applyNumberFormat="1" applyFont="1" applyFill="1" applyBorder="1" applyAlignment="1">
      <alignment horizontal="center" vertical="center"/>
    </xf>
    <xf numFmtId="3" fontId="49" fillId="0" borderId="0" xfId="0" applyNumberFormat="1" applyFont="1"/>
    <xf numFmtId="165" fontId="27" fillId="0" borderId="20" xfId="0" applyNumberFormat="1" applyFont="1" applyFill="1" applyBorder="1" applyAlignment="1">
      <alignment horizontal="right" vertical="top"/>
    </xf>
    <xf numFmtId="10" fontId="12" fillId="0" borderId="0" xfId="0" applyNumberFormat="1" applyFont="1"/>
    <xf numFmtId="5" fontId="12" fillId="0" borderId="0" xfId="0" applyNumberFormat="1" applyFont="1"/>
    <xf numFmtId="41" fontId="22" fillId="0" borderId="56" xfId="0" applyNumberFormat="1" applyFont="1" applyBorder="1"/>
    <xf numFmtId="41" fontId="22" fillId="0" borderId="38" xfId="0" applyNumberFormat="1" applyFont="1" applyBorder="1" applyAlignment="1">
      <alignment horizontal="right" vertical="top"/>
    </xf>
    <xf numFmtId="180" fontId="11" fillId="8" borderId="56" xfId="0" applyNumberFormat="1" applyFont="1" applyFill="1" applyBorder="1"/>
    <xf numFmtId="185" fontId="28" fillId="0" borderId="56" xfId="0" applyNumberFormat="1" applyFont="1" applyBorder="1"/>
    <xf numFmtId="185" fontId="12" fillId="0" borderId="40" xfId="0" applyNumberFormat="1" applyFont="1" applyBorder="1" applyAlignment="1">
      <alignment vertical="top"/>
    </xf>
    <xf numFmtId="185" fontId="12" fillId="0" borderId="56" xfId="0" applyNumberFormat="1" applyFont="1" applyBorder="1"/>
    <xf numFmtId="185" fontId="12" fillId="0" borderId="40" xfId="0" applyNumberFormat="1" applyFont="1" applyBorder="1"/>
    <xf numFmtId="185" fontId="47" fillId="0" borderId="56" xfId="0" applyNumberFormat="1" applyFont="1" applyBorder="1"/>
    <xf numFmtId="185" fontId="46" fillId="0" borderId="40" xfId="0" applyNumberFormat="1" applyFont="1" applyBorder="1" applyAlignment="1">
      <alignment vertical="top"/>
    </xf>
    <xf numFmtId="174" fontId="22" fillId="0" borderId="40" xfId="0" applyNumberFormat="1" applyFont="1" applyBorder="1" applyAlignment="1">
      <alignment vertical="top"/>
    </xf>
    <xf numFmtId="174" fontId="12" fillId="0" borderId="40" xfId="0" applyNumberFormat="1" applyFont="1" applyBorder="1" applyAlignment="1">
      <alignment vertical="top"/>
    </xf>
    <xf numFmtId="175" fontId="22" fillId="0" borderId="56" xfId="0" applyNumberFormat="1" applyFont="1" applyBorder="1"/>
    <xf numFmtId="175" fontId="22" fillId="0" borderId="38" xfId="0" applyNumberFormat="1" applyFont="1" applyBorder="1" applyAlignment="1">
      <alignment horizontal="right" vertical="top"/>
    </xf>
    <xf numFmtId="175" fontId="12" fillId="0" borderId="40" xfId="0" applyNumberFormat="1" applyFont="1" applyBorder="1"/>
    <xf numFmtId="175" fontId="22" fillId="0" borderId="40" xfId="0" applyNumberFormat="1" applyFont="1" applyBorder="1"/>
    <xf numFmtId="174" fontId="11" fillId="7" borderId="41" xfId="0" applyNumberFormat="1" applyFont="1" applyFill="1" applyBorder="1"/>
    <xf numFmtId="174" fontId="22" fillId="0" borderId="56" xfId="0" applyNumberFormat="1" applyFont="1" applyBorder="1"/>
    <xf numFmtId="174" fontId="12" fillId="0" borderId="40" xfId="0" applyNumberFormat="1" applyFont="1" applyBorder="1"/>
    <xf numFmtId="174" fontId="11" fillId="10" borderId="41" xfId="0" applyNumberFormat="1" applyFont="1" applyFill="1" applyBorder="1"/>
    <xf numFmtId="180" fontId="22" fillId="9" borderId="62" xfId="0" applyNumberFormat="1" applyFont="1" applyFill="1" applyBorder="1"/>
    <xf numFmtId="180" fontId="22" fillId="9" borderId="40" xfId="0" applyNumberFormat="1" applyFont="1" applyFill="1" applyBorder="1"/>
    <xf numFmtId="187" fontId="11" fillId="7" borderId="41" xfId="0" applyNumberFormat="1" applyFont="1" applyFill="1" applyBorder="1"/>
    <xf numFmtId="187" fontId="11" fillId="10" borderId="41" xfId="0" applyNumberFormat="1" applyFont="1" applyFill="1" applyBorder="1"/>
    <xf numFmtId="187" fontId="22" fillId="9" borderId="62" xfId="0" applyNumberFormat="1" applyFont="1" applyFill="1" applyBorder="1"/>
    <xf numFmtId="187" fontId="22" fillId="9" borderId="40" xfId="0" applyNumberFormat="1" applyFont="1" applyFill="1" applyBorder="1"/>
    <xf numFmtId="0" fontId="29" fillId="14" borderId="0" xfId="0" applyFont="1" applyFill="1"/>
    <xf numFmtId="0" fontId="29" fillId="14" borderId="35" xfId="0" applyFont="1" applyFill="1" applyBorder="1"/>
    <xf numFmtId="165" fontId="28" fillId="14" borderId="0" xfId="0" applyNumberFormat="1" applyFont="1" applyFill="1" applyBorder="1" applyAlignment="1">
      <alignment horizontal="right" vertical="top"/>
    </xf>
    <xf numFmtId="165" fontId="22" fillId="14" borderId="0" xfId="0" applyNumberFormat="1" applyFont="1" applyFill="1" applyBorder="1" applyAlignment="1">
      <alignment horizontal="right" vertical="top"/>
    </xf>
    <xf numFmtId="165" fontId="39" fillId="14" borderId="0" xfId="0" applyNumberFormat="1" applyFont="1" applyFill="1" applyBorder="1" applyAlignment="1">
      <alignment horizontal="right" vertical="top"/>
    </xf>
    <xf numFmtId="0" fontId="0" fillId="14" borderId="0" xfId="0" applyFill="1"/>
    <xf numFmtId="165" fontId="29" fillId="14" borderId="7" xfId="0" applyNumberFormat="1" applyFont="1" applyFill="1" applyBorder="1"/>
    <xf numFmtId="0" fontId="0" fillId="9" borderId="20" xfId="0" applyFill="1" applyBorder="1"/>
    <xf numFmtId="9" fontId="39" fillId="9" borderId="20" xfId="0" applyNumberFormat="1" applyFont="1" applyFill="1" applyBorder="1" applyAlignment="1">
      <alignment horizontal="center"/>
    </xf>
    <xf numFmtId="173" fontId="32" fillId="8" borderId="63" xfId="0" applyNumberFormat="1" applyFont="1" applyFill="1" applyBorder="1"/>
    <xf numFmtId="173" fontId="32" fillId="8" borderId="0" xfId="0" applyNumberFormat="1" applyFont="1" applyFill="1" applyBorder="1"/>
    <xf numFmtId="173" fontId="32" fillId="8" borderId="38" xfId="0" applyNumberFormat="1" applyFont="1" applyFill="1" applyBorder="1"/>
    <xf numFmtId="175" fontId="22" fillId="0" borderId="38" xfId="0" applyNumberFormat="1" applyFont="1" applyBorder="1"/>
    <xf numFmtId="174" fontId="22" fillId="0" borderId="38" xfId="0" applyNumberFormat="1" applyFont="1" applyBorder="1"/>
    <xf numFmtId="175" fontId="22" fillId="0" borderId="4" xfId="0" applyNumberFormat="1" applyFont="1" applyBorder="1"/>
    <xf numFmtId="175" fontId="22" fillId="0" borderId="46" xfId="0" applyNumberFormat="1" applyFont="1" applyBorder="1"/>
    <xf numFmtId="173" fontId="32" fillId="8" borderId="40" xfId="0" applyNumberFormat="1" applyFont="1" applyFill="1" applyBorder="1" applyAlignment="1">
      <alignment horizontal="right"/>
    </xf>
    <xf numFmtId="0" fontId="42" fillId="0" borderId="7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173" fontId="63" fillId="7" borderId="23" xfId="0" applyNumberFormat="1" applyFont="1" applyFill="1" applyBorder="1"/>
    <xf numFmtId="3" fontId="48" fillId="0" borderId="0" xfId="0" applyNumberFormat="1" applyFont="1"/>
    <xf numFmtId="37" fontId="46" fillId="0" borderId="40" xfId="0" applyNumberFormat="1" applyFont="1" applyBorder="1"/>
    <xf numFmtId="37" fontId="22" fillId="0" borderId="56" xfId="0" applyNumberFormat="1" applyFont="1" applyBorder="1"/>
    <xf numFmtId="3" fontId="28" fillId="0" borderId="4" xfId="0" applyNumberFormat="1" applyFont="1" applyBorder="1" applyAlignment="1">
      <alignment vertical="top"/>
    </xf>
    <xf numFmtId="3" fontId="28" fillId="0" borderId="0" xfId="0" applyNumberFormat="1" applyFont="1" applyBorder="1" applyAlignment="1">
      <alignment vertical="top"/>
    </xf>
    <xf numFmtId="3" fontId="28" fillId="0" borderId="35" xfId="0" applyNumberFormat="1" applyFont="1" applyBorder="1" applyAlignment="1">
      <alignment vertical="top"/>
    </xf>
    <xf numFmtId="37" fontId="12" fillId="0" borderId="56" xfId="0" applyNumberFormat="1" applyFont="1" applyBorder="1"/>
    <xf numFmtId="173" fontId="40" fillId="0" borderId="3" xfId="0" applyNumberFormat="1" applyFont="1" applyBorder="1"/>
    <xf numFmtId="172" fontId="65" fillId="12" borderId="47" xfId="0" applyNumberFormat="1" applyFont="1" applyFill="1" applyBorder="1" applyAlignment="1">
      <alignment horizontal="right"/>
    </xf>
    <xf numFmtId="167" fontId="11" fillId="14" borderId="29" xfId="0" applyNumberFormat="1" applyFont="1" applyFill="1" applyBorder="1"/>
    <xf numFmtId="172" fontId="22" fillId="12" borderId="23" xfId="0" applyNumberFormat="1" applyFont="1" applyFill="1" applyBorder="1" applyAlignment="1">
      <alignment horizontal="center"/>
    </xf>
    <xf numFmtId="164" fontId="12" fillId="0" borderId="7" xfId="0" applyNumberFormat="1" applyFont="1" applyBorder="1"/>
    <xf numFmtId="0" fontId="29" fillId="14" borderId="0" xfId="0" applyFont="1" applyFill="1" applyBorder="1"/>
    <xf numFmtId="185" fontId="22" fillId="0" borderId="56" xfId="0" applyNumberFormat="1" applyFont="1" applyBorder="1"/>
    <xf numFmtId="0" fontId="78" fillId="0" borderId="7" xfId="0" applyFont="1" applyBorder="1"/>
    <xf numFmtId="0" fontId="79" fillId="0" borderId="0" xfId="0" applyFont="1"/>
    <xf numFmtId="3" fontId="65" fillId="12" borderId="19" xfId="0" applyNumberFormat="1" applyFont="1" applyFill="1" applyBorder="1"/>
    <xf numFmtId="172" fontId="55" fillId="12" borderId="18" xfId="0" applyNumberFormat="1" applyFont="1" applyFill="1" applyBorder="1"/>
    <xf numFmtId="0" fontId="41" fillId="0" borderId="3" xfId="0" applyFont="1" applyBorder="1"/>
    <xf numFmtId="3" fontId="63" fillId="0" borderId="36" xfId="0" applyNumberFormat="1" applyFont="1" applyBorder="1"/>
    <xf numFmtId="184" fontId="0" fillId="0" borderId="36" xfId="0" applyNumberFormat="1" applyBorder="1"/>
    <xf numFmtId="9" fontId="63" fillId="0" borderId="36" xfId="0" applyNumberFormat="1" applyFont="1" applyBorder="1"/>
    <xf numFmtId="0" fontId="0" fillId="0" borderId="36" xfId="0" applyBorder="1"/>
    <xf numFmtId="185" fontId="0" fillId="0" borderId="36" xfId="0" applyNumberFormat="1" applyBorder="1"/>
    <xf numFmtId="173" fontId="63" fillId="0" borderId="36" xfId="0" applyNumberFormat="1" applyFont="1" applyBorder="1"/>
    <xf numFmtId="0" fontId="14" fillId="3" borderId="7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Continuous"/>
    </xf>
    <xf numFmtId="179" fontId="63" fillId="0" borderId="36" xfId="0" applyNumberFormat="1" applyFont="1" applyBorder="1" applyAlignment="1">
      <alignment horizontal="center"/>
    </xf>
    <xf numFmtId="179" fontId="63" fillId="0" borderId="64" xfId="0" applyNumberFormat="1" applyFont="1" applyBorder="1" applyAlignment="1">
      <alignment horizontal="center"/>
    </xf>
    <xf numFmtId="172" fontId="63" fillId="0" borderId="64" xfId="0" applyNumberFormat="1" applyFont="1" applyBorder="1"/>
    <xf numFmtId="3" fontId="63" fillId="0" borderId="64" xfId="0" applyNumberFormat="1" applyFont="1" applyBorder="1"/>
    <xf numFmtId="184" fontId="0" fillId="0" borderId="64" xfId="0" applyNumberFormat="1" applyBorder="1"/>
    <xf numFmtId="9" fontId="63" fillId="0" borderId="64" xfId="0" applyNumberFormat="1" applyFont="1" applyBorder="1"/>
    <xf numFmtId="0" fontId="0" fillId="0" borderId="64" xfId="0" applyBorder="1"/>
    <xf numFmtId="0" fontId="5" fillId="12" borderId="25" xfId="0" applyFont="1" applyFill="1" applyBorder="1"/>
    <xf numFmtId="0" fontId="5" fillId="12" borderId="25" xfId="0" applyFont="1" applyFill="1" applyBorder="1" applyAlignment="1">
      <alignment wrapText="1"/>
    </xf>
    <xf numFmtId="0" fontId="5" fillId="12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185" fontId="0" fillId="0" borderId="36" xfId="0" quotePrefix="1" applyNumberFormat="1" applyBorder="1" applyAlignment="1">
      <alignment horizontal="center"/>
    </xf>
    <xf numFmtId="185" fontId="0" fillId="0" borderId="3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applyFont="1" applyBorder="1" applyAlignment="1"/>
    <xf numFmtId="0" fontId="0" fillId="0" borderId="0" xfId="0" applyAlignment="1">
      <alignment horizontal="left" indent="1"/>
    </xf>
    <xf numFmtId="0" fontId="5" fillId="12" borderId="25" xfId="0" applyFont="1" applyFill="1" applyBorder="1" applyAlignment="1">
      <alignment horizontal="right"/>
    </xf>
    <xf numFmtId="0" fontId="5" fillId="12" borderId="2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72" fontId="64" fillId="12" borderId="23" xfId="0" applyNumberFormat="1" applyFont="1" applyFill="1" applyBorder="1"/>
    <xf numFmtId="0" fontId="5" fillId="7" borderId="25" xfId="0" applyFont="1" applyFill="1" applyBorder="1" applyAlignment="1">
      <alignment horizontal="left"/>
    </xf>
    <xf numFmtId="0" fontId="5" fillId="7" borderId="29" xfId="0" applyFont="1" applyFill="1" applyBorder="1"/>
    <xf numFmtId="184" fontId="5" fillId="0" borderId="0" xfId="0" applyNumberFormat="1" applyFont="1" applyBorder="1"/>
    <xf numFmtId="3" fontId="63" fillId="12" borderId="23" xfId="0" applyNumberFormat="1" applyFont="1" applyFill="1" applyBorder="1"/>
    <xf numFmtId="0" fontId="5" fillId="7" borderId="29" xfId="0" applyFont="1" applyFill="1" applyBorder="1" applyAlignment="1">
      <alignment horizontal="left"/>
    </xf>
    <xf numFmtId="0" fontId="33" fillId="0" borderId="0" xfId="4" applyFont="1" applyBorder="1"/>
    <xf numFmtId="0" fontId="76" fillId="0" borderId="0" xfId="2" quotePrefix="1" applyFont="1" applyAlignment="1">
      <alignment horizontal="left" indent="1"/>
    </xf>
    <xf numFmtId="0" fontId="76" fillId="0" borderId="0" xfId="2" applyFont="1" applyAlignment="1">
      <alignment horizontal="left" indent="1"/>
    </xf>
    <xf numFmtId="0" fontId="81" fillId="0" borderId="0" xfId="0" applyFont="1"/>
    <xf numFmtId="0" fontId="56" fillId="12" borderId="23" xfId="0" applyFont="1" applyFill="1" applyBorder="1"/>
    <xf numFmtId="0" fontId="24" fillId="6" borderId="33" xfId="4" applyFont="1" applyFill="1" applyBorder="1"/>
    <xf numFmtId="171" fontId="73" fillId="6" borderId="64" xfId="4" applyNumberFormat="1" applyFont="1" applyFill="1" applyBorder="1"/>
    <xf numFmtId="0" fontId="73" fillId="6" borderId="64" xfId="0" applyFont="1" applyFill="1" applyBorder="1"/>
    <xf numFmtId="0" fontId="41" fillId="6" borderId="64" xfId="0" applyFont="1" applyFill="1" applyBorder="1"/>
    <xf numFmtId="171" fontId="53" fillId="6" borderId="34" xfId="4" applyNumberFormat="1" applyFont="1" applyFill="1" applyBorder="1"/>
    <xf numFmtId="0" fontId="53" fillId="0" borderId="25" xfId="4" applyFont="1" applyBorder="1" applyAlignment="1">
      <alignment horizontal="left" wrapText="1"/>
    </xf>
    <xf numFmtId="0" fontId="18" fillId="0" borderId="0" xfId="0" applyFont="1" applyAlignment="1">
      <alignment horizontal="left" indent="1"/>
    </xf>
    <xf numFmtId="0" fontId="18" fillId="0" borderId="0" xfId="0" quotePrefix="1" applyFont="1" applyAlignment="1">
      <alignment horizontal="left" indent="1"/>
    </xf>
    <xf numFmtId="0" fontId="29" fillId="0" borderId="0" xfId="0" applyFont="1" applyAlignment="1">
      <alignment horizontal="center"/>
    </xf>
    <xf numFmtId="0" fontId="30" fillId="11" borderId="3" xfId="0" applyFont="1" applyFill="1" applyBorder="1"/>
    <xf numFmtId="0" fontId="0" fillId="11" borderId="3" xfId="0" applyFill="1" applyBorder="1"/>
    <xf numFmtId="0" fontId="29" fillId="11" borderId="3" xfId="0" applyFont="1" applyFill="1" applyBorder="1"/>
    <xf numFmtId="37" fontId="30" fillId="11" borderId="3" xfId="0" applyNumberFormat="1" applyFont="1" applyFill="1" applyBorder="1"/>
    <xf numFmtId="0" fontId="5" fillId="11" borderId="3" xfId="0" applyFont="1" applyFill="1" applyBorder="1"/>
    <xf numFmtId="0" fontId="11" fillId="11" borderId="3" xfId="0" applyFont="1" applyFill="1" applyBorder="1"/>
    <xf numFmtId="3" fontId="11" fillId="11" borderId="3" xfId="0" applyNumberFormat="1" applyFont="1" applyFill="1" applyBorder="1"/>
    <xf numFmtId="37" fontId="11" fillId="11" borderId="6" xfId="0" applyNumberFormat="1" applyFont="1" applyFill="1" applyBorder="1"/>
    <xf numFmtId="37" fontId="11" fillId="11" borderId="3" xfId="0" applyNumberFormat="1" applyFont="1" applyFill="1" applyBorder="1"/>
    <xf numFmtId="37" fontId="11" fillId="11" borderId="54" xfId="0" applyNumberFormat="1" applyFont="1" applyFill="1" applyBorder="1"/>
    <xf numFmtId="0" fontId="82" fillId="9" borderId="0" xfId="2" applyFont="1" applyFill="1" applyAlignment="1">
      <alignment horizontal="left" indent="1"/>
    </xf>
    <xf numFmtId="167" fontId="23" fillId="0" borderId="0" xfId="0" applyNumberFormat="1" applyFont="1" applyAlignment="1">
      <alignment horizontal="left"/>
    </xf>
    <xf numFmtId="0" fontId="17" fillId="0" borderId="65" xfId="0" applyFont="1" applyBorder="1"/>
    <xf numFmtId="185" fontId="12" fillId="0" borderId="4" xfId="0" applyNumberFormat="1" applyFont="1" applyBorder="1" applyAlignment="1">
      <alignment horizontal="right" vertical="top"/>
    </xf>
    <xf numFmtId="185" fontId="12" fillId="0" borderId="0" xfId="0" applyNumberFormat="1" applyFont="1" applyBorder="1" applyAlignment="1">
      <alignment horizontal="right" vertical="top"/>
    </xf>
    <xf numFmtId="10" fontId="12" fillId="0" borderId="46" xfId="0" applyNumberFormat="1" applyFont="1" applyBorder="1" applyAlignment="1">
      <alignment horizontal="right" vertical="top"/>
    </xf>
    <xf numFmtId="10" fontId="12" fillId="0" borderId="7" xfId="0" applyNumberFormat="1" applyFont="1" applyBorder="1" applyAlignment="1">
      <alignment horizontal="right" vertical="top"/>
    </xf>
    <xf numFmtId="0" fontId="30" fillId="0" borderId="0" xfId="0" applyFont="1" applyAlignment="1">
      <alignment horizontal="left" indent="1"/>
    </xf>
    <xf numFmtId="0" fontId="30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3" fontId="11" fillId="0" borderId="4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35" xfId="0" applyNumberFormat="1" applyFont="1" applyBorder="1" applyAlignment="1">
      <alignment vertical="top"/>
    </xf>
    <xf numFmtId="0" fontId="11" fillId="0" borderId="0" xfId="0" applyFont="1" applyAlignment="1">
      <alignment horizontal="left"/>
    </xf>
    <xf numFmtId="37" fontId="83" fillId="0" borderId="56" xfId="0" applyNumberFormat="1" applyFont="1" applyBorder="1"/>
    <xf numFmtId="37" fontId="11" fillId="0" borderId="40" xfId="0" applyNumberFormat="1" applyFont="1" applyBorder="1"/>
    <xf numFmtId="178" fontId="57" fillId="0" borderId="0" xfId="0" applyNumberFormat="1" applyFont="1" applyBorder="1" applyAlignment="1">
      <alignment horizontal="right" vertical="top"/>
    </xf>
    <xf numFmtId="178" fontId="30" fillId="0" borderId="0" xfId="0" applyNumberFormat="1" applyFont="1" applyBorder="1"/>
    <xf numFmtId="0" fontId="5" fillId="12" borderId="25" xfId="0" applyFont="1" applyFill="1" applyBorder="1" applyAlignment="1">
      <alignment horizontal="right" wrapText="1"/>
    </xf>
    <xf numFmtId="0" fontId="5" fillId="12" borderId="0" xfId="0" applyFont="1" applyFill="1" applyBorder="1" applyAlignment="1">
      <alignment wrapText="1"/>
    </xf>
    <xf numFmtId="2" fontId="12" fillId="0" borderId="0" xfId="0" applyNumberFormat="1" applyFont="1"/>
    <xf numFmtId="3" fontId="29" fillId="0" borderId="0" xfId="0" applyNumberFormat="1" applyFont="1"/>
    <xf numFmtId="1" fontId="47" fillId="12" borderId="23" xfId="0" applyNumberFormat="1" applyFont="1" applyFill="1" applyBorder="1" applyAlignment="1">
      <alignment horizontal="center"/>
    </xf>
    <xf numFmtId="0" fontId="84" fillId="0" borderId="0" xfId="0" applyFont="1"/>
    <xf numFmtId="9" fontId="39" fillId="12" borderId="23" xfId="0" applyNumberFormat="1" applyFont="1" applyFill="1" applyBorder="1" applyAlignment="1">
      <alignment horizontal="centerContinuous"/>
    </xf>
    <xf numFmtId="9" fontId="28" fillId="12" borderId="23" xfId="0" applyNumberFormat="1" applyFont="1" applyFill="1" applyBorder="1" applyAlignment="1">
      <alignment horizontal="centerContinuous"/>
    </xf>
    <xf numFmtId="1" fontId="22" fillId="12" borderId="23" xfId="0" applyNumberFormat="1" applyFont="1" applyFill="1" applyBorder="1" applyAlignment="1">
      <alignment horizontal="center"/>
    </xf>
    <xf numFmtId="167" fontId="28" fillId="0" borderId="0" xfId="0" quotePrefix="1" applyNumberFormat="1" applyFont="1" applyFill="1" applyBorder="1" applyAlignment="1">
      <alignment horizontal="left"/>
    </xf>
    <xf numFmtId="177" fontId="83" fillId="12" borderId="23" xfId="0" applyNumberFormat="1" applyFont="1" applyFill="1" applyBorder="1" applyAlignment="1">
      <alignment horizontal="center"/>
    </xf>
    <xf numFmtId="0" fontId="12" fillId="0" borderId="0" xfId="0" applyFont="1" applyAlignment="1"/>
    <xf numFmtId="167" fontId="12" fillId="0" borderId="0" xfId="0" applyNumberFormat="1" applyFont="1" applyAlignment="1"/>
    <xf numFmtId="0" fontId="56" fillId="15" borderId="23" xfId="0" applyFont="1" applyFill="1" applyBorder="1"/>
    <xf numFmtId="0" fontId="56" fillId="3" borderId="0" xfId="0" applyFont="1" applyFill="1"/>
    <xf numFmtId="189" fontId="22" fillId="12" borderId="23" xfId="0" applyNumberFormat="1" applyFont="1" applyFill="1" applyBorder="1" applyAlignment="1">
      <alignment horizontal="center"/>
    </xf>
    <xf numFmtId="0" fontId="43" fillId="14" borderId="8" xfId="0" applyFont="1" applyFill="1" applyBorder="1"/>
    <xf numFmtId="0" fontId="43" fillId="14" borderId="0" xfId="0" applyFont="1" applyFill="1" applyBorder="1"/>
    <xf numFmtId="0" fontId="58" fillId="0" borderId="0" xfId="0" quotePrefix="1" applyFont="1" applyAlignment="1">
      <alignment horizontal="left" indent="1"/>
    </xf>
    <xf numFmtId="184" fontId="22" fillId="12" borderId="23" xfId="0" applyNumberFormat="1" applyFont="1" applyFill="1" applyBorder="1" applyAlignment="1">
      <alignment horizontal="center"/>
    </xf>
    <xf numFmtId="184" fontId="46" fillId="12" borderId="23" xfId="0" applyNumberFormat="1" applyFont="1" applyFill="1" applyBorder="1" applyAlignment="1">
      <alignment horizontal="center"/>
    </xf>
    <xf numFmtId="0" fontId="29" fillId="13" borderId="25" xfId="0" applyFont="1" applyFill="1" applyBorder="1"/>
    <xf numFmtId="0" fontId="29" fillId="13" borderId="30" xfId="0" applyFont="1" applyFill="1" applyBorder="1"/>
    <xf numFmtId="0" fontId="30" fillId="13" borderId="29" xfId="0" applyFont="1" applyFill="1" applyBorder="1"/>
    <xf numFmtId="167" fontId="27" fillId="0" borderId="0" xfId="0" applyNumberFormat="1" applyFont="1" applyAlignment="1">
      <alignment horizontal="left"/>
    </xf>
    <xf numFmtId="167" fontId="27" fillId="12" borderId="0" xfId="0" applyNumberFormat="1" applyFont="1" applyFill="1" applyAlignment="1">
      <alignment horizontal="left"/>
    </xf>
    <xf numFmtId="177" fontId="86" fillId="12" borderId="23" xfId="0" applyNumberFormat="1" applyFont="1" applyFill="1" applyBorder="1" applyAlignment="1">
      <alignment horizontal="center"/>
    </xf>
    <xf numFmtId="5" fontId="22" fillId="12" borderId="23" xfId="0" applyNumberFormat="1" applyFont="1" applyFill="1" applyBorder="1" applyAlignment="1">
      <alignment horizontal="center"/>
    </xf>
    <xf numFmtId="7" fontId="12" fillId="0" borderId="0" xfId="0" applyNumberFormat="1" applyFont="1" applyAlignment="1">
      <alignment horizontal="center"/>
    </xf>
    <xf numFmtId="5" fontId="22" fillId="12" borderId="51" xfId="0" applyNumberFormat="1" applyFont="1" applyFill="1" applyBorder="1" applyAlignment="1">
      <alignment horizontal="center"/>
    </xf>
    <xf numFmtId="167" fontId="11" fillId="0" borderId="64" xfId="0" applyNumberFormat="1" applyFont="1" applyBorder="1" applyAlignment="1"/>
    <xf numFmtId="0" fontId="12" fillId="0" borderId="64" xfId="0" applyFont="1" applyBorder="1" applyAlignment="1">
      <alignment horizontal="right"/>
    </xf>
    <xf numFmtId="169" fontId="28" fillId="12" borderId="44" xfId="0" applyNumberFormat="1" applyFont="1" applyFill="1" applyBorder="1" applyAlignment="1">
      <alignment horizontal="center"/>
    </xf>
    <xf numFmtId="0" fontId="11" fillId="0" borderId="66" xfId="0" applyFont="1" applyBorder="1" applyAlignment="1">
      <alignment horizontal="centerContinuous"/>
    </xf>
    <xf numFmtId="0" fontId="11" fillId="9" borderId="66" xfId="0" applyFont="1" applyFill="1" applyBorder="1" applyAlignment="1">
      <alignment horizontal="centerContinuous"/>
    </xf>
    <xf numFmtId="0" fontId="17" fillId="0" borderId="66" xfId="0" applyFont="1" applyBorder="1" applyAlignment="1">
      <alignment horizontal="centerContinuous"/>
    </xf>
    <xf numFmtId="3" fontId="43" fillId="12" borderId="23" xfId="0" applyNumberFormat="1" applyFont="1" applyFill="1" applyBorder="1" applyAlignment="1">
      <alignment horizontal="center"/>
    </xf>
    <xf numFmtId="0" fontId="0" fillId="0" borderId="0" xfId="0" applyBorder="1"/>
    <xf numFmtId="7" fontId="29" fillId="0" borderId="0" xfId="0" applyNumberFormat="1" applyFont="1" applyBorder="1"/>
    <xf numFmtId="0" fontId="0" fillId="14" borderId="0" xfId="0" applyFill="1" applyBorder="1"/>
    <xf numFmtId="165" fontId="29" fillId="14" borderId="0" xfId="0" applyNumberFormat="1" applyFont="1" applyFill="1" applyBorder="1"/>
    <xf numFmtId="9" fontId="46" fillId="12" borderId="4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/>
    <xf numFmtId="5" fontId="12" fillId="0" borderId="4" xfId="0" applyNumberFormat="1" applyFont="1" applyBorder="1" applyAlignment="1">
      <alignment horizontal="center"/>
    </xf>
    <xf numFmtId="5" fontId="12" fillId="0" borderId="0" xfId="0" applyNumberFormat="1" applyFont="1" applyBorder="1" applyAlignment="1">
      <alignment horizontal="center"/>
    </xf>
    <xf numFmtId="37" fontId="48" fillId="12" borderId="23" xfId="0" applyNumberFormat="1" applyFont="1" applyFill="1" applyBorder="1"/>
    <xf numFmtId="37" fontId="48" fillId="0" borderId="0" xfId="0" applyNumberFormat="1" applyFont="1"/>
    <xf numFmtId="3" fontId="46" fillId="12" borderId="23" xfId="0" applyNumberFormat="1" applyFont="1" applyFill="1" applyBorder="1" applyAlignment="1">
      <alignment horizontal="center"/>
    </xf>
    <xf numFmtId="189" fontId="46" fillId="12" borderId="23" xfId="0" applyNumberFormat="1" applyFont="1" applyFill="1" applyBorder="1" applyAlignment="1">
      <alignment horizontal="center"/>
    </xf>
    <xf numFmtId="176" fontId="46" fillId="12" borderId="32" xfId="0" applyNumberFormat="1" applyFont="1" applyFill="1" applyBorder="1" applyAlignment="1">
      <alignment horizontal="center"/>
    </xf>
    <xf numFmtId="1" fontId="46" fillId="12" borderId="34" xfId="0" applyNumberFormat="1" applyFont="1" applyFill="1" applyBorder="1" applyAlignment="1">
      <alignment horizontal="center"/>
    </xf>
    <xf numFmtId="1" fontId="0" fillId="0" borderId="0" xfId="0" applyNumberFormat="1"/>
    <xf numFmtId="188" fontId="46" fillId="12" borderId="23" xfId="0" applyNumberFormat="1" applyFont="1" applyFill="1" applyBorder="1" applyAlignment="1">
      <alignment horizontal="center"/>
    </xf>
    <xf numFmtId="188" fontId="0" fillId="0" borderId="0" xfId="0" applyNumberFormat="1"/>
    <xf numFmtId="177" fontId="46" fillId="12" borderId="23" xfId="0" applyNumberFormat="1" applyFont="1" applyFill="1" applyBorder="1" applyAlignment="1">
      <alignment horizontal="center"/>
    </xf>
    <xf numFmtId="14" fontId="46" fillId="12" borderId="23" xfId="0" applyNumberFormat="1" applyFont="1" applyFill="1" applyBorder="1" applyAlignment="1">
      <alignment horizontal="center"/>
    </xf>
    <xf numFmtId="172" fontId="46" fillId="12" borderId="23" xfId="0" applyNumberFormat="1" applyFont="1" applyFill="1" applyBorder="1" applyAlignment="1">
      <alignment horizontal="center"/>
    </xf>
    <xf numFmtId="173" fontId="46" fillId="12" borderId="23" xfId="0" applyNumberFormat="1" applyFont="1" applyFill="1" applyBorder="1" applyAlignment="1">
      <alignment horizontal="center"/>
    </xf>
    <xf numFmtId="9" fontId="0" fillId="0" borderId="0" xfId="0" applyNumberFormat="1"/>
    <xf numFmtId="10" fontId="66" fillId="4" borderId="19" xfId="0" applyNumberFormat="1" applyFont="1" applyFill="1" applyBorder="1" applyAlignment="1">
      <alignment horizontal="center"/>
    </xf>
    <xf numFmtId="172" fontId="46" fillId="12" borderId="23" xfId="1" applyNumberFormat="1" applyFont="1" applyFill="1" applyBorder="1" applyAlignment="1">
      <alignment horizontal="center"/>
    </xf>
    <xf numFmtId="10" fontId="28" fillId="9" borderId="23" xfId="0" applyNumberFormat="1" applyFont="1" applyFill="1" applyBorder="1" applyAlignment="1">
      <alignment horizontal="center"/>
    </xf>
    <xf numFmtId="173" fontId="28" fillId="9" borderId="23" xfId="0" applyNumberFormat="1" applyFont="1" applyFill="1" applyBorder="1" applyAlignment="1">
      <alignment horizontal="center"/>
    </xf>
    <xf numFmtId="9" fontId="46" fillId="12" borderId="52" xfId="0" applyNumberFormat="1" applyFont="1" applyFill="1" applyBorder="1" applyAlignment="1">
      <alignment horizontal="centerContinuous"/>
    </xf>
    <xf numFmtId="172" fontId="46" fillId="12" borderId="51" xfId="1" applyNumberFormat="1" applyFont="1" applyFill="1" applyBorder="1" applyAlignment="1">
      <alignment horizontal="center"/>
    </xf>
    <xf numFmtId="173" fontId="22" fillId="12" borderId="56" xfId="0" applyNumberFormat="1" applyFont="1" applyFill="1" applyBorder="1" applyAlignment="1">
      <alignment horizontal="center"/>
    </xf>
    <xf numFmtId="9" fontId="48" fillId="7" borderId="52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/>
    <xf numFmtId="37" fontId="48" fillId="0" borderId="0" xfId="0" applyNumberFormat="1" applyFont="1" applyFill="1" applyBorder="1"/>
    <xf numFmtId="37" fontId="48" fillId="0" borderId="10" xfId="0" applyNumberFormat="1" applyFont="1" applyFill="1" applyBorder="1"/>
    <xf numFmtId="37" fontId="48" fillId="0" borderId="7" xfId="0" applyNumberFormat="1" applyFont="1" applyFill="1" applyBorder="1"/>
    <xf numFmtId="188" fontId="22" fillId="12" borderId="51" xfId="0" applyNumberFormat="1" applyFont="1" applyFill="1" applyBorder="1" applyAlignment="1">
      <alignment horizontal="center"/>
    </xf>
    <xf numFmtId="3" fontId="28" fillId="9" borderId="0" xfId="0" applyNumberFormat="1" applyFont="1" applyFill="1" applyBorder="1" applyAlignment="1">
      <alignment horizontal="center"/>
    </xf>
    <xf numFmtId="172" fontId="28" fillId="9" borderId="0" xfId="0" applyNumberFormat="1" applyFont="1" applyFill="1" applyBorder="1" applyAlignment="1">
      <alignment horizontal="center"/>
    </xf>
    <xf numFmtId="9" fontId="28" fillId="9" borderId="0" xfId="0" applyNumberFormat="1" applyFont="1" applyFill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85" fillId="0" borderId="0" xfId="0" applyFont="1"/>
    <xf numFmtId="37" fontId="48" fillId="0" borderId="0" xfId="0" applyNumberFormat="1" applyFont="1" applyBorder="1" applyAlignment="1">
      <alignment horizontal="right" vertical="top"/>
    </xf>
    <xf numFmtId="37" fontId="49" fillId="0" borderId="0" xfId="0" applyNumberFormat="1" applyFont="1" applyBorder="1" applyAlignment="1">
      <alignment horizontal="right" vertical="top"/>
    </xf>
    <xf numFmtId="37" fontId="27" fillId="0" borderId="56" xfId="0" applyNumberFormat="1" applyFont="1" applyBorder="1"/>
    <xf numFmtId="37" fontId="11" fillId="0" borderId="38" xfId="0" applyNumberFormat="1" applyFont="1" applyBorder="1"/>
    <xf numFmtId="9" fontId="22" fillId="12" borderId="44" xfId="0" applyNumberFormat="1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right" vertical="top"/>
    </xf>
    <xf numFmtId="9" fontId="22" fillId="12" borderId="20" xfId="0" applyNumberFormat="1" applyFont="1" applyFill="1" applyBorder="1" applyAlignment="1">
      <alignment horizontal="center"/>
    </xf>
    <xf numFmtId="42" fontId="43" fillId="12" borderId="23" xfId="0" applyNumberFormat="1" applyFont="1" applyFill="1" applyBorder="1" applyAlignment="1">
      <alignment horizontal="center"/>
    </xf>
  </cellXfs>
  <cellStyles count="7">
    <cellStyle name="Comma 2" xfId="6" xr:uid="{07B61721-83EC-4D33-9538-B523EB3E2062}"/>
    <cellStyle name="Currency" xfId="1" builtinId="4"/>
    <cellStyle name="Currency 2" xfId="3" xr:uid="{C0B25E19-0802-40DD-89F1-C4DF5C1E76E0}"/>
    <cellStyle name="Normal" xfId="0" builtinId="0"/>
    <cellStyle name="Normal 2" xfId="2" xr:uid="{05BB950C-A55E-48C8-A029-09433A0AE2B2}"/>
    <cellStyle name="Normal 2 2" xfId="5" xr:uid="{AF7F3A18-E549-4D5B-B5DE-8EA6E772114B}"/>
    <cellStyle name="Normal 3" xfId="4" xr:uid="{1314C2B9-740D-424A-8C4A-B6CD9A19DB62}"/>
  </cellStyles>
  <dxfs count="0"/>
  <tableStyles count="0" defaultTableStyle="TableStyleMedium2" defaultPivotStyle="PivotStyleLight16"/>
  <colors>
    <mruColors>
      <color rgb="FF00B0F0"/>
      <color rgb="FF053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A:\AR%20October_e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USERS\NOVAK\OLD\AUTO\Linamar\MAg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Active%20Deals\Menlo%20Pharma\Model\MPL%20Model_03.26.10_v.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Active%20Deals\1%20-%20GENSTAR%20PORTFOLIO%20COMPANIES\Netsmart\Pre-Close\Investment%20Review%20(FIR%20and%20PIR)\FIR%2005.24.10\Netsmart%20LBO_05.18.10_v.2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Users\weins\Desktop\Advisory%20Work\BlueStone\DHS%20Financing%20Model_6.14.16_v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Documents%20and%20Settings\greenoughs\Local%20Settings\Temp\extensity%20su%20HCM%20load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Documents%20and%20Settings\kkamp\My%20Documents\Extensity%20-%20Systems%20Union\Extensity%20-%20Systems%20Union%20Employee%20Data%200825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Documents%20and%20Settings\gbartle\Local%20Settings\Temporary%20Internet%20Files\OLKE7\ProleaseExtract200803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onsolidated%20Statements\Consolidated%20Statements\2008\Jan-08\Jan-07%20CT%20HOLDINGS%20%20final%202-25-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Documents%20and%20Settings\eping\Local%20Settings\Temporary%20Internet%20Files\OLK19\CASH%20REVIEW%20APR%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Mrkdata01\Finance\Extensity\Cash%20Balance%20report\Treasury's%20worksheets\FY07\INFOR%20cash%20report%20Nov%2010%20w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Ggcfile\shared\DERICKC\TECHN\CMSI\DI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USERS\BOUTJA\Finning\CAODC%20-%20Rig%20Cou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!!DOC@WORK\CPTS%20@Work%20Products\IT\IT%20Vendor%20Costs\Comm\MASTER_COM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vvv\Deals\Portfolio%20Companies\Infor\SiloCo\100218%20-%20SiloCo%20LBO%20Mod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TRANSACTIONS%20-CURRENT\Misys%203%20(Banking%20&amp;%20TCM)\Model\Combo\Detailed\Magic%20-%20Detailed%20Combo%20Model%20v6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Madfas2\Fin\data\temp\Dolphin%20Feb%20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-atl-fs01\finance$\Controlling\Monatsbericht\2002\Masterdateien\Plan_FC_Vergleich_Mast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!!Geoff\!PC-Business\_013-SSAX\_Mgt%20Reports\Prem%20Dashboard%20N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Users\ikim\AppData\Local\Temp\101028%20Infor%20Epicor%20SBN%20Combo%20PL%20Build%20@%202227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ocuments%20and%20Settings\NBKAYRD\Local%20Settings\Temporary%20Internet%20Files\OLKB2\120103%20S&amp;U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alwfs1\finance$\My%20Documents\Brazil%20Financials\FY06\July%2005\BRA-BS%20072005%20Gea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-atl-fs01\finance$\FINDATA\CAROLYNE\MONTHEND\98OCT\98SEP\Corporate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OCUME~1\GEFIRD~1\LOCALS~1\Temp\notes335BF6\Parador%20Dealtool_P&amp;L%2012-10-1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Clients\2010%20DEALS\Project%20Garden\Model\Garden%20Model_2.12.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Madfas2\Fin\DEPTS\DP-PP\PP-PUBLIC\Resource%20Planning\Project%20Files\RP_Database_V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ocuments%20and%20Settings\stondave\Local%20Settings\Temporary%20Internet%20Files\OLK90\FT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-atl-fs01\finance$\DOCUME~1\lbellano\LOCALS~1\Temp\C.Lotus.Notes.Data\new_packages1\new_3261DA_HQ_excel_0405_GAAP_EUR_Automotive_02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cabacus.com/Documents%20and%20Settings/Administrator/My%20Documents/M&amp;A%20Mode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ocuments\Personal\++CST%2008%2009\PMS%20Project\Plan%20B%20kicked%20off\Austria\June%2010\5288CO_06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-atl-fs01\finance$\FINDATA\CAROLYNE\MONTHEND\98OCT\98OCT\Corpor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ocuments%20and%20Settings\nbkzrjt\Local%20Settings\Temporary%20Internet%20Files\OLK80\Project%20Magic%20Model_v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ata\Convert%20Portfolio%20Mgt\One%20Pagers\TECH\Industry%20Analysis\Semiconductors\UBS%20Industry%20DATA%20overlo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WINNT\Profiles\soonsm\Temporary%20Internet%20Files\OLK80\MEC\BBD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:\MyFiles\Infor%20Projects\IBS%20Group\Ops%20Model\100223_IBS_PS_FY11%20Plan%20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C:\Documents\Personal\++CST%2008%2009\PMS%20Project\Plan%20B%20kicked%20off\Austria\June%2010\P&amp;L%20OBWAE%20Austria%2030.06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Details"/>
      <sheetName val="ARSummary"/>
      <sheetName val="Graph"/>
      <sheetName val="Sales"/>
      <sheetName val="E"/>
      <sheetName val="100152"/>
      <sheetName val="100143"/>
      <sheetName val="100142"/>
      <sheetName val="Sheet3"/>
      <sheetName val="100152 (2)"/>
      <sheetName val="100143 (2)"/>
      <sheetName val="100142 (2)"/>
    </sheetNames>
    <sheetDataSet>
      <sheetData sheetId="0" refreshError="1"/>
      <sheetData sheetId="1"/>
      <sheetData sheetId="2" refreshError="1">
        <row r="69">
          <cell r="C69">
            <v>4.7837014499999997</v>
          </cell>
          <cell r="D69">
            <v>4.7837014499999997</v>
          </cell>
        </row>
        <row r="70">
          <cell r="C70">
            <v>2.946913579999999</v>
          </cell>
          <cell r="D70">
            <v>2.946913579999999</v>
          </cell>
        </row>
        <row r="71">
          <cell r="C71">
            <v>2.5844150199999998</v>
          </cell>
          <cell r="D71">
            <v>3.0260697900000002</v>
          </cell>
        </row>
        <row r="72">
          <cell r="C72">
            <v>3.9133342399999997</v>
          </cell>
          <cell r="D72">
            <v>3.9133342399999997</v>
          </cell>
        </row>
        <row r="73">
          <cell r="C73">
            <v>2.62333755</v>
          </cell>
          <cell r="D73">
            <v>2.62333755</v>
          </cell>
        </row>
        <row r="74">
          <cell r="C74">
            <v>2.3457837400000003</v>
          </cell>
          <cell r="D74">
            <v>2.3457837400000003</v>
          </cell>
        </row>
        <row r="75">
          <cell r="C75">
            <v>1.4572855</v>
          </cell>
          <cell r="D75">
            <v>1.4572855</v>
          </cell>
        </row>
        <row r="76">
          <cell r="C76">
            <v>2.78504277</v>
          </cell>
          <cell r="D76">
            <v>2.78504277</v>
          </cell>
        </row>
        <row r="77">
          <cell r="C77">
            <v>1.5696284300000003</v>
          </cell>
          <cell r="D77">
            <v>1.5696284300000003</v>
          </cell>
        </row>
        <row r="78">
          <cell r="C78">
            <v>0.33798090000000003</v>
          </cell>
          <cell r="D78">
            <v>0.33798090000000003</v>
          </cell>
        </row>
        <row r="79">
          <cell r="C79">
            <v>1.1245943700000001</v>
          </cell>
          <cell r="D79">
            <v>1.1245943700000001</v>
          </cell>
        </row>
        <row r="80">
          <cell r="C80">
            <v>-26.472017550000004</v>
          </cell>
          <cell r="D80">
            <v>-26.913672320000007</v>
          </cell>
        </row>
      </sheetData>
      <sheetData sheetId="3" refreshError="1">
        <row r="5">
          <cell r="B5" t="str">
            <v>Richfield marine  c/o Liner Class</v>
          </cell>
        </row>
        <row r="164">
          <cell r="C164">
            <v>5.2789999999999999</v>
          </cell>
        </row>
        <row r="165">
          <cell r="C165">
            <v>3.4540000000000002</v>
          </cell>
        </row>
        <row r="166">
          <cell r="C166">
            <v>2.9180000000000001</v>
          </cell>
        </row>
        <row r="167">
          <cell r="C167">
            <v>2.4900000000000002</v>
          </cell>
        </row>
        <row r="168">
          <cell r="C168">
            <v>2.3879999999999999</v>
          </cell>
        </row>
        <row r="169">
          <cell r="C169">
            <v>2.1749999999999998</v>
          </cell>
        </row>
        <row r="170">
          <cell r="C170">
            <v>2.1680000000000001</v>
          </cell>
        </row>
        <row r="171">
          <cell r="C171">
            <v>1.9990000000000001</v>
          </cell>
        </row>
        <row r="172">
          <cell r="C172">
            <v>1.32</v>
          </cell>
        </row>
        <row r="173">
          <cell r="C173">
            <v>1.2889999999999999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Sheet1"/>
      <sheetName val="Sheet2"/>
      <sheetName val="Sheet3"/>
    </sheetNames>
    <sheetDataSet>
      <sheetData sheetId="0"/>
      <sheetData sheetId="1">
        <row r="3">
          <cell r="A3">
            <v>34059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trol"/>
      <sheetName val="LBOShell"/>
      <sheetName val="Genstar Model----&gt;"/>
      <sheetName val="Model"/>
      <sheetName val="Cases"/>
      <sheetName val="Sources-Uses - Returns"/>
      <sheetName val="Case Summary"/>
      <sheetName val="Distribution Chart"/>
      <sheetName val="Output"/>
      <sheetName val="Ownership Sensitivity"/>
      <sheetName val="Financial Output"/>
      <sheetName val="EBITDA Bridge"/>
      <sheetName val="Slide Output"/>
      <sheetName val="Cons----&gt;"/>
      <sheetName val="Case and Returns Output"/>
      <sheetName val="Operating Control"/>
      <sheetName val="Operating Summary"/>
      <sheetName val="PFRevCategories"/>
      <sheetName val="PFGPCategories"/>
      <sheetName val="Genstar Detail Output"/>
      <sheetName val="PFCons"/>
      <sheetName val="PFCons - Case Comparison"/>
      <sheetName val="PFUS&amp;India"/>
      <sheetName val="PFDava&amp;URL"/>
      <sheetName val="PFOpEx"/>
      <sheetName val="CapExAssumptions"/>
      <sheetName val="URL----&gt;"/>
      <sheetName val="URLPFIS"/>
      <sheetName val="URLSG&amp;A"/>
      <sheetName val="URLPFGPBuild"/>
      <sheetName val="URLTop15Detail"/>
      <sheetName val="URLGPBuildDetail"/>
      <sheetName val="GPBuildDetailExplanation"/>
      <sheetName val="DAVA----&gt;"/>
      <sheetName val="DavaPFIS"/>
      <sheetName val="DavaSummaryOpEx"/>
      <sheetName val="DavaCP"/>
      <sheetName val="DavaSG&amp;A"/>
      <sheetName val="DavaPFGPBuild"/>
      <sheetName val="DavaTop15Detail"/>
      <sheetName val="DavaGPBuildDetail"/>
      <sheetName val="India----&gt;"/>
      <sheetName val="IndiaPF"/>
      <sheetName val="IndiaPFOverhead"/>
      <sheetName val="PFIndiaSG&amp;A"/>
      <sheetName val="PFIndiaR&amp;D"/>
      <sheetName val="IndiaAlone"/>
      <sheetName val="KSum"/>
      <sheetName val="ESum"/>
    </sheetNames>
    <sheetDataSet>
      <sheetData sheetId="0" refreshError="1"/>
      <sheetData sheetId="1">
        <row r="10">
          <cell r="E10" t="str">
            <v>URL</v>
          </cell>
        </row>
        <row r="11">
          <cell r="E11" t="str">
            <v>Dava</v>
          </cell>
        </row>
        <row r="12">
          <cell r="E12" t="str">
            <v>Kopran</v>
          </cell>
        </row>
        <row r="13">
          <cell r="E13" t="str">
            <v>Encore</v>
          </cell>
        </row>
        <row r="16">
          <cell r="E16">
            <v>46.129716799999997</v>
          </cell>
        </row>
        <row r="26">
          <cell r="E26">
            <v>0</v>
          </cell>
        </row>
      </sheetData>
      <sheetData sheetId="2">
        <row r="1">
          <cell r="B1" t="str">
            <v>MPL PF Financial Analysis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 Chart"/>
      <sheetName val="Outputs"/>
      <sheetName val="Control"/>
      <sheetName val="Case Summary"/>
      <sheetName val="Consolidated Model"/>
      <sheetName val="P&amp;L Summary"/>
      <sheetName val="Acquisition P&amp;L"/>
      <sheetName val="Revenue Buildup"/>
      <sheetName val="Revenue Categories"/>
      <sheetName val="Revenue Assumptions"/>
      <sheetName val="Bookings"/>
      <sheetName val="Cost Buildup"/>
      <sheetName val="TAM and SAM"/>
      <sheetName val="HIE Assumptions"/>
    </sheetNames>
    <sheetDataSet>
      <sheetData sheetId="0" refreshError="1"/>
      <sheetData sheetId="1" refreshError="1"/>
      <sheetData sheetId="2">
        <row r="5">
          <cell r="A5" t="str">
            <v>Base Case</v>
          </cell>
        </row>
      </sheetData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s"/>
      <sheetName val="Controls &amp; Assumptions"/>
      <sheetName val="Simplified Annuals &amp; Metrics"/>
      <sheetName val="Consolidated Annual Financials"/>
      <sheetName val="Consolidated Monthly Financials"/>
      <sheetName val="Unit Economics ---&gt;"/>
      <sheetName val="DHS Unit Economics"/>
      <sheetName val="Portrero Unit Economics"/>
      <sheetName val="So Cal - 12 Month P&amp;L"/>
      <sheetName val="GG &amp; 710 Annual"/>
      <sheetName val="GG &amp; 710 Quarterly"/>
      <sheetName val="Valuation---&gt;"/>
      <sheetName val="Valuation Analyses"/>
    </sheetNames>
    <sheetDataSet>
      <sheetData sheetId="0" refreshError="1"/>
      <sheetData sheetId="1">
        <row r="13">
          <cell r="AB13">
            <v>10</v>
          </cell>
        </row>
        <row r="16">
          <cell r="G16">
            <v>0</v>
          </cell>
        </row>
        <row r="24">
          <cell r="G24">
            <v>42369</v>
          </cell>
        </row>
      </sheetData>
      <sheetData sheetId="2">
        <row r="14">
          <cell r="G14">
            <v>26.123461749702606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PCD"/>
      <sheetName val="Defaults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PCD"/>
      <sheetName val="Defaults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20080305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Consolidating"/>
      <sheetName val="CONS P&amp;L"/>
      <sheetName val="CONS B&amp;S"/>
      <sheetName val="CT HOLDINGS"/>
      <sheetName val="SDS Fct"/>
      <sheetName val="ROI Fct"/>
      <sheetName val="Nixa Fct"/>
      <sheetName val="CT Cons"/>
      <sheetName val="HEALTHPORT"/>
      <sheetName val="CORP"/>
      <sheetName val="notes"/>
      <sheetName val="SDS cons"/>
      <sheetName val="ROI"/>
      <sheetName val="Q5ROI"/>
      <sheetName val="NIXA"/>
      <sheetName val="Q5 NIXA"/>
      <sheetName val="Nixa LOB reports"/>
      <sheetName val="Jun Sale related entries"/>
      <sheetName val="CT BU"/>
      <sheetName val="CT BUD"/>
      <sheetName val="SDS FORECAST"/>
      <sheetName val="roi bs detail"/>
      <sheetName val="ROI PL"/>
      <sheetName val="ROI source"/>
      <sheetName val="ROI BACKUP"/>
      <sheetName val="NAV BACKUP"/>
      <sheetName val="BS-ROI"/>
      <sheetName val="BS-NX"/>
      <sheetName val="Con BS trend"/>
      <sheetName val="CON - MONTHLY"/>
      <sheetName val="ROI MONTHLY"/>
      <sheetName val="NIXA MONTHLY"/>
      <sheetName val="Quarterly"/>
      <sheetName val="2007"/>
      <sheetName val="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y Total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EME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4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 counts"/>
      <sheetName val="natural gas"/>
      <sheetName val="world gdp"/>
      <sheetName val="CAT Outlook"/>
      <sheetName val="commodity"/>
      <sheetName val="mines"/>
      <sheetName val="compressor"/>
      <sheetName val="NR Const"/>
      <sheetName val="cost"/>
      <sheetName val="Sheet2"/>
      <sheetName val="enerfl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97:Q1 !Q</v>
          </cell>
          <cell r="B7" t="str">
            <v>V5976409@CANSIM</v>
          </cell>
          <cell r="C7" t="str">
            <v>V5976410@CANSIM</v>
          </cell>
          <cell r="D7" t="str">
            <v>V5976411@CANSIM</v>
          </cell>
          <cell r="E7" t="str">
            <v>V5976412@CANSIM</v>
          </cell>
          <cell r="G7" t="str">
            <v>V5976585@CANSIM</v>
          </cell>
          <cell r="H7" t="str">
            <v>V5976586@CANSIM</v>
          </cell>
          <cell r="I7" t="str">
            <v>V5976587@CANSIM</v>
          </cell>
          <cell r="J7" t="str">
            <v>V5976588@CANSIM</v>
          </cell>
        </row>
        <row r="8">
          <cell r="A8" t="str">
            <v>.DESC</v>
          </cell>
          <cell r="B8" t="str">
            <v xml:space="preserve">Canada: Total Nonresidential Building Construction (SA, Thous.C$) </v>
          </cell>
          <cell r="C8" t="str">
            <v xml:space="preserve">Canada: Nonresidential Building Construction: Industrial (SA, Thous.C$) </v>
          </cell>
          <cell r="D8" t="str">
            <v xml:space="preserve">Canada: Nonresidential Building Construction: Commercial (SA, Thous.C$) </v>
          </cell>
          <cell r="E8" t="str">
            <v xml:space="preserve">Canada: Nonres Bldg Construction: Institutional &amp; Governmental (SA, Thous.C$) </v>
          </cell>
          <cell r="G8" t="str">
            <v xml:space="preserve">Canada: Total Nonresidential Building Construction (SA, Thous.1997.C$) </v>
          </cell>
          <cell r="H8" t="str">
            <v xml:space="preserve">Canada: Nonresidential Building Construction: Industrial (SA, Thous.1997.C$) </v>
          </cell>
          <cell r="I8" t="str">
            <v xml:space="preserve">Canada: Investment in Nonres Bldg Construction: Commercial (SA, Thous.1997.C$) </v>
          </cell>
          <cell r="J8" t="str">
            <v xml:space="preserve">Canada: Nonres Bldg Construction: Institutional/Governmental (SA, Thous.1997.C$) </v>
          </cell>
        </row>
      </sheetData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N P&amp;L USD"/>
      <sheetName val="P&amp;L"/>
      <sheetName val="Plex P&amp;L USD"/>
      <sheetName val="Subscription Revenue"/>
      <sheetName val="LBO Model--&gt;"/>
      <sheetName val="Assumptions"/>
      <sheetName val="PF Cap"/>
      <sheetName val="SU"/>
      <sheetName val="LBO"/>
      <sheetName val="Other Calcs"/>
      <sheetName val="Backup P&amp;Ls--&gt;"/>
      <sheetName val="Infor + SBN P&amp;L"/>
      <sheetName val="Infor P&amp;L"/>
      <sheetName val="IBS Ent P&amp;L USD"/>
      <sheetName val="IBS Ent P&amp;L Euro"/>
      <sheetName val="BS"/>
      <sheetName val="IFS---&gt;"/>
      <sheetName val="IFS Valuation"/>
      <sheetName val="IFS Valuation USD"/>
      <sheetName val="IFS P&amp;L SEK"/>
      <sheetName val="IFS P&amp;L USD"/>
      <sheetName val="IFS Historical Financials"/>
      <sheetName val="Capitalized R&amp;D (2)"/>
      <sheetName val="Capitalized R&amp;D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0.141235</v>
          </cell>
        </row>
        <row r="12">
          <cell r="X12">
            <v>1</v>
          </cell>
        </row>
        <row r="13">
          <cell r="X13">
            <v>0</v>
          </cell>
        </row>
        <row r="14">
          <cell r="X14">
            <v>1</v>
          </cell>
        </row>
        <row r="15">
          <cell r="X15">
            <v>1</v>
          </cell>
        </row>
        <row r="16">
          <cell r="X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Summary"/>
      <sheetName val="Summary Output"/>
      <sheetName val="S&amp;U"/>
      <sheetName val="Magic Options"/>
      <sheetName val="LTM EBITDA"/>
      <sheetName val="Synergies"/>
      <sheetName val="Returns"/>
      <sheetName val="Functional IS"/>
      <sheetName val="Natural IS"/>
      <sheetName val="BS &amp; CF"/>
      <sheetName val="Debt Paydown"/>
      <sheetName val="Rev Combo"/>
      <sheetName val="Cases"/>
      <sheetName val="Combo Summary"/>
      <sheetName val="Covenants"/>
      <sheetName val="MAGIC&gt;&gt;&gt;"/>
      <sheetName val="Magic Summary"/>
      <sheetName val="Magic Natural IS"/>
      <sheetName val="Magic Non Comp"/>
      <sheetName val="Magic Comp"/>
      <sheetName val="Magic Productivity"/>
      <sheetName val="Rev Build&gt;&gt;&gt;"/>
      <sheetName val="Banking RB"/>
      <sheetName val="TCM RB"/>
      <sheetName val="Sophis RB"/>
      <sheetName val="Corp RB"/>
      <sheetName val="Comp&gt;&gt;&gt;"/>
      <sheetName val="Central Comp"/>
      <sheetName val="Offshore Comp"/>
      <sheetName val="APA Comp"/>
      <sheetName val="China Comp"/>
      <sheetName val="MEA Comp"/>
      <sheetName val="SWC Europe Comp"/>
      <sheetName val="N Europe Comp"/>
      <sheetName val="N America Comp"/>
      <sheetName val="L America Comp"/>
      <sheetName val="TCM Sophis IS"/>
      <sheetName val="TURAZ&gt;&gt;&gt;"/>
      <sheetName val="Turaz HC"/>
      <sheetName val="Turaz IS"/>
      <sheetName val="Turaz BS"/>
      <sheetName val="Sources&gt;&gt;&gt;"/>
      <sheetName val="Bookings Analysis"/>
      <sheetName val="ILF Bookings"/>
      <sheetName val="RLF Rollout"/>
      <sheetName val="Rev Analysis"/>
      <sheetName val="COGS"/>
      <sheetName val="Non Comp Source"/>
      <sheetName val="Comp Source"/>
      <sheetName val="Cash Flow"/>
      <sheetName val="Balance Sheet"/>
      <sheetName val="Share Save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ev"/>
      <sheetName val="DSD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Co P&amp;L"/>
      <sheetName val="Epicor P&amp;L"/>
      <sheetName val="Infor P&amp;L"/>
      <sheetName val="SBN Amadeus P&amp;L"/>
      <sheetName val="101028 Infor Epicor SBN Combo P"/>
    </sheetNames>
    <definedNames>
      <definedName name="consideration"/>
      <definedName name="cover"/>
      <definedName name="elvis_acq"/>
      <definedName name="elvis_comp"/>
      <definedName name="elvis_dcf"/>
      <definedName name="elvis_ref"/>
      <definedName name="gold_print"/>
      <definedName name="meet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120103 S&amp;U"/>
    </sheetNames>
    <definedNames>
      <definedName name="orio_summ"/>
      <definedName name="PAGE1" refersTo="#REF!"/>
      <definedName name="page2"/>
      <definedName name="page3"/>
      <definedName name="rock_summ"/>
    </defined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CREE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s97"/>
      <sheetName val="Actuals98"/>
      <sheetName val="Budget98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"/>
      <sheetName val="Index"/>
      <sheetName val="Monthly TBs --&gt;"/>
      <sheetName val="Consolidated TBs"/>
      <sheetName val="Monthly SAS TBs"/>
      <sheetName val="Account key"/>
      <sheetName val="Conso --&gt;"/>
      <sheetName val="Last 12 months H2 09&amp;H1 10"/>
      <sheetName val="IM format (p59) proforma"/>
      <sheetName val="IM format (p59) accounting"/>
      <sheetName val="summaries"/>
      <sheetName val="MA - Global PMS 2008-2009"/>
      <sheetName val="P&amp;L - Summary"/>
      <sheetName val="P&amp;L - Slides"/>
      <sheetName val="P&amp;L - Revenue"/>
      <sheetName val="P&amp;L - Costs"/>
      <sheetName val="08-09 Reconciliation"/>
      <sheetName val="SAS --&gt;"/>
      <sheetName val="TOTAL SAS PMS 09-YTD10"/>
      <sheetName val="TOTAL SAS PMS 2008-2009"/>
      <sheetName val="FRANCE PMS 09-YTD10"/>
      <sheetName val="GERMANY PMS 09-YTD10"/>
      <sheetName val="SPAIN PMS 09-YTD10"/>
      <sheetName val="FINLAND PMS 09-YTD10"/>
      <sheetName val="HBG --&gt;"/>
      <sheetName val="HBG MGT-2008-2009"/>
      <sheetName val="HBG MGT 09-YTD10"/>
      <sheetName val="HBG MARKETING-09-YTD10"/>
      <sheetName val="HBG MARKETING- 2008-2009"/>
      <sheetName val="Asia --&gt;"/>
      <sheetName val="Optims Asia - P&amp;L 09"/>
      <sheetName val="Optims Asia - P&amp;L 08"/>
      <sheetName val="Asia PMS"/>
      <sheetName val="Austria --&gt;"/>
      <sheetName val="Hogatex - P&amp;L 08"/>
      <sheetName val="Hogatex - P&amp;L 09"/>
      <sheetName val="Austria PMS YTD09"/>
      <sheetName val="Austria PMS YTD10"/>
    </sheetNames>
    <sheetDataSet>
      <sheetData sheetId="0">
        <row r="3">
          <cell r="D3" t="str">
            <v>Parador - P&amp;L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odel"/>
      <sheetName val="Operating Model"/>
      <sheetName val="Summary Fin"/>
      <sheetName val="Financial Summary"/>
      <sheetName val="S&amp;U Cap Memo (HoldCo)"/>
      <sheetName val="S&amp;U Cap"/>
      <sheetName val="S&amp;U Cap (HoldCo)"/>
      <sheetName val="S&amp;U Cap (Alt 3)"/>
      <sheetName val="S&amp;U Cap Memo (3)"/>
      <sheetName val="S&amp;U Cap Memo"/>
      <sheetName val="Current Cap"/>
      <sheetName val="Asset Coverage"/>
      <sheetName val="__FDSCACHE__"/>
    </sheetNames>
    <sheetDataSet>
      <sheetData sheetId="0" refreshError="1"/>
      <sheetData sheetId="1">
        <row r="1">
          <cell r="C1" t="str">
            <v>Project Garden</v>
          </cell>
        </row>
        <row r="3">
          <cell r="P3" t="str">
            <v>BAML Case</v>
          </cell>
        </row>
        <row r="6">
          <cell r="S6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 actual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ning"/>
      <sheetName val="Output"/>
      <sheetName val="Main"/>
      <sheetName val="Sheet1"/>
      <sheetName val="Debt"/>
      <sheetName val="ROCE"/>
      <sheetName val="Guidance"/>
      <sheetName val="Acquisitions"/>
      <sheetName val="Oil Sands"/>
      <sheetName val="RPE"/>
      <sheetName val="Stats"/>
      <sheetName val="FX"/>
      <sheetName val="OilSands(2)"/>
      <sheetName val="Oilsands CAPEX"/>
      <sheetName val="Oil Sands Pro"/>
      <sheetName val="Charts"/>
      <sheetName val="Revenue"/>
      <sheetName val="BS Comp"/>
      <sheetName val="Pwr"/>
      <sheetName val="Sheet3"/>
      <sheetName val="Sheet4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Oil Sands Project</v>
          </cell>
          <cell r="B3" t="str">
            <v>Owners</v>
          </cell>
          <cell r="C3" t="str">
            <v>Current Production</v>
          </cell>
          <cell r="D3" t="str">
            <v>Future Production</v>
          </cell>
          <cell r="E3" t="str">
            <v>Current Truck Fleet</v>
          </cell>
          <cell r="F3" t="str">
            <v>Future Fleet</v>
          </cell>
        </row>
        <row r="5">
          <cell r="A5" t="str">
            <v>Syncrude Canada: Base mine, North mine, Aurora mine</v>
          </cell>
          <cell r="B5" t="str">
            <v>Canadian Oil Sands (COS), Imperial Oil, Murphy Oil, Nexen</v>
          </cell>
          <cell r="C5" t="str">
            <v>263,000 Bbls/d</v>
          </cell>
          <cell r="D5" t="str">
            <v>Current Forecast:         2008/2009-350,000 Bbls/d  2013-Debottlenecking should increase production to 400,000 Bbls/d.                                        2017 (Stage 4) 500,000 Bbls/d</v>
          </cell>
          <cell r="E5" t="str">
            <v>Forty 797 Caterpillar trucks, fifteen 793 Caterpillar trucks and seventeen Komatsu’s. Suggesting a 65% market share for Finning</v>
          </cell>
          <cell r="F5" t="str">
            <v xml:space="preserve">Finning expects Syncrude’s truck fleet to grow to 100 CAT's by 2010 thereby increasing its market share. </v>
          </cell>
        </row>
        <row r="6">
          <cell r="A6" t="str">
            <v>Suncor: Steepbank mine, Millenium mine and Firebag</v>
          </cell>
          <cell r="B6" t="str">
            <v>Suncor</v>
          </cell>
          <cell r="C6" t="str">
            <v>260,000 Bbls/d by year end</v>
          </cell>
          <cell r="D6" t="str">
            <v>350,000 Bbls/d by 2008; 500,000-550,000 by 2012</v>
          </cell>
          <cell r="E6" t="str">
            <v>Twenty-four 797 Caterpillar trucks and twenty-four Komatsu trucks.</v>
          </cell>
          <cell r="F6" t="str">
            <v>With expansion plans Caterpillar fleet should increase to 30-32 797 trucks by 2008.</v>
          </cell>
        </row>
        <row r="7">
          <cell r="A7" t="str">
            <v>Athabasca Oil Sands (AOS) project: Albian Sands, Muskeg River Mine and Jackpine</v>
          </cell>
          <cell r="B7" t="str">
            <v>Shell, Chevron, Western Oil Sands</v>
          </cell>
          <cell r="C7" t="str">
            <v>155,000 Bbls/d</v>
          </cell>
          <cell r="D7" t="str">
            <v>Current Forecast:             2008-185,000 Bbls/d           2010-300,000 Bbls/d            2012-400,000 Bbls/d            2014-500,000 Bbls/d</v>
          </cell>
          <cell r="E7" t="str">
            <v>Twenty-three 797 Caterpillar trucks. Finning is the exclusive supplier</v>
          </cell>
          <cell r="F7" t="str">
            <v>Management expects the fleet to grow to thirty-four 797 trucks in 2008. Once the projects are close to being fully ramped Finning believes AOS would require forty to fifty 400-ton trucks by 2012-2013.</v>
          </cell>
        </row>
        <row r="8">
          <cell r="A8" t="str">
            <v>Horizon</v>
          </cell>
          <cell r="B8" t="str">
            <v>Canadian Natural Resources</v>
          </cell>
          <cell r="C8" t="str">
            <v>Pre-production</v>
          </cell>
          <cell r="D8" t="str">
            <v>Current Forecast:             2008-110,000 Bbls/d           2010-154,800 Bbls/d            2012-232,200 Bbls/d            2015-432,000 Bbls/d</v>
          </cell>
          <cell r="E8" t="str">
            <v>Finning has already committed sales for twenty-three 797 trucks by 2008.</v>
          </cell>
          <cell r="F8" t="str">
            <v>By Phase 2 (expected timeline is 2010-2011) expectations are for CAT fleet to increase to forty-six.</v>
          </cell>
        </row>
        <row r="9">
          <cell r="A9" t="str">
            <v xml:space="preserve">Kearl Lake project </v>
          </cell>
          <cell r="B9" t="str">
            <v>Exxon Mobil, Imperial Oil</v>
          </cell>
          <cell r="C9" t="str">
            <v>Pre-production</v>
          </cell>
          <cell r="D9" t="str">
            <v>Proposed 100,000 Bbls/d by 2010, potentially reaching 300,000 Bbls/d in 2015</v>
          </cell>
          <cell r="F9" t="str">
            <v>Production expected after 2010 thus estimates for heavy equipment needs are unknown.  Rule of thumb though is 10 trucks per 100,000 b/d production.</v>
          </cell>
        </row>
        <row r="10">
          <cell r="A10" t="str">
            <v>The Northern Lights project</v>
          </cell>
          <cell r="B10" t="str">
            <v>SynEncCo Energy 60%, SinoCanada 40%</v>
          </cell>
          <cell r="C10" t="str">
            <v>Pre-production</v>
          </cell>
          <cell r="D10" t="str">
            <v>Proposed 100,000 Bbls/d by 2010</v>
          </cell>
          <cell r="F10" t="str">
            <v>Production expected after 2010 thus estimates for heavy equipment needs are unknown.  Rule of thumb though is 10 trucks per 100,000 b/d production.</v>
          </cell>
        </row>
        <row r="11">
          <cell r="A11" t="str">
            <v>Fort Hills</v>
          </cell>
          <cell r="B11" t="str">
            <v>Petro Canada 55%, UTS Energy 30%, Teck Cominco 15%</v>
          </cell>
          <cell r="C11" t="str">
            <v>Pre-production</v>
          </cell>
          <cell r="D11" t="str">
            <v>Proposed 200,000 Bbls/d by 2011. 390,000 Bbls/d by 2014</v>
          </cell>
          <cell r="F11" t="str">
            <v>Production expected after 2010 thus estimates for heavy equipment needs are unknown.  Rule of thumb though is 10 trucks per 100,000 b/d production.</v>
          </cell>
        </row>
        <row r="12">
          <cell r="A12" t="str">
            <v>Joslyn project</v>
          </cell>
          <cell r="B12" t="str">
            <v>Deer Creek Energy (84%), recently purchased by Total S.A.</v>
          </cell>
          <cell r="C12" t="str">
            <v>Pre-production</v>
          </cell>
          <cell r="D12" t="str">
            <v>Current Forecast:                      2010-50,000 Bbls/d                 2013-100,000 Bbls/d            2016-150,000 Bbls/d            2019-200,000 Bbls/d</v>
          </cell>
          <cell r="F12" t="str">
            <v>Production expected after 2010 thus estimates for heavy equipment needs are unknown.  Rule of thumb though is 10 trucks per 100,000 b/d production.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erger --&gt;&gt;"/>
      <sheetName val="Contribution"/>
      <sheetName val="Acc-Dil"/>
      <sheetName val="PPR"/>
      <sheetName val="S&amp;U"/>
      <sheetName val="GAAP"/>
      <sheetName val="Pro Forma --&gt;&gt;"/>
      <sheetName val="BS"/>
      <sheetName val="IS"/>
      <sheetName val="Inputs --&gt;&gt;"/>
      <sheetName val="Acquirer"/>
      <sheetName val="Target"/>
      <sheetName val="Valuation --&gt;&gt;"/>
      <sheetName val="LBO"/>
      <sheetName val="DCF"/>
    </sheetNames>
    <sheetDataSet>
      <sheetData sheetId="0">
        <row r="9">
          <cell r="S9" t="str">
            <v>Clipper</v>
          </cell>
        </row>
        <row r="19">
          <cell r="AA19">
            <v>35.021206088992969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Notes"/>
      <sheetName val="List of Companies"/>
      <sheetName val="GROSS"/>
      <sheetName val="AMORT"/>
      <sheetName val="GFS-EPP GROSS"/>
      <sheetName val="CHARGES TO INTANGIBLE"/>
      <sheetName val="5288CO_06_201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s99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 Model"/>
      <sheetName val="Operating Model"/>
      <sheetName val="Summary Fin"/>
      <sheetName val="S&amp;U Memo"/>
      <sheetName val="Charts"/>
      <sheetName val="Historicals"/>
      <sheetName val="Cover"/>
      <sheetName val="PMO"/>
      <sheetName val="EBITDA Bridge"/>
      <sheetName val="Covenant Analysis"/>
      <sheetName val="Comparison"/>
      <sheetName val="Bal Sheet"/>
      <sheetName val="LFC SumFee"/>
      <sheetName val="BS &amp; CF"/>
      <sheetName val="RAP Output"/>
      <sheetName val="Natural IS"/>
      <sheetName val="Functional IS"/>
      <sheetName val="Turaz IS"/>
      <sheetName val="Debt Paydown"/>
      <sheetName val="LTM EBITDA"/>
      <sheetName val="Synergies (FMT)"/>
      <sheetName val="Synergies"/>
      <sheetName val="Magic Natural IS"/>
      <sheetName val="S&amp;U"/>
      <sheetName val="Fee Chart"/>
      <sheetName val="__FDSCACHE__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_Summary"/>
      <sheetName val="Vendor_Supply"/>
      <sheetName val="Vendor_Revenues"/>
      <sheetName val="NAND Wfr Calc"/>
      <sheetName val="DSC"/>
      <sheetName val="Gaming"/>
      <sheetName val="Handsets"/>
      <sheetName val="PC"/>
      <sheetName val="__FDSCACHE__"/>
      <sheetName val="MP3"/>
      <sheetName val="Vendor_Fabs"/>
      <sheetName val="Constants"/>
      <sheetName val="IDC"/>
      <sheetName val="Gartner"/>
      <sheetName val="SIA"/>
      <sheetName val="CMOS_sh"/>
    </sheetNames>
    <sheetDataSet>
      <sheetData sheetId="0" refreshError="1"/>
      <sheetData sheetId="1" refreshError="1"/>
      <sheetData sheetId="2" refreshError="1">
        <row r="6">
          <cell r="B6" t="str">
            <v>NAND</v>
          </cell>
          <cell r="C6">
            <v>295.47167745145998</v>
          </cell>
          <cell r="D6">
            <v>350.54380842209139</v>
          </cell>
          <cell r="E6">
            <v>533.59799999999996</v>
          </cell>
          <cell r="F6">
            <v>754.08799999999997</v>
          </cell>
          <cell r="G6">
            <v>1933.7014858735513</v>
          </cell>
          <cell r="H6">
            <v>994.32</v>
          </cell>
          <cell r="I6">
            <v>1229.04</v>
          </cell>
          <cell r="J6">
            <v>1729.96</v>
          </cell>
          <cell r="K6">
            <v>2447.6799999999998</v>
          </cell>
          <cell r="L6">
            <v>6401</v>
          </cell>
          <cell r="M6">
            <v>3042.9648000000002</v>
          </cell>
          <cell r="N6">
            <v>3816.6481600000002</v>
          </cell>
          <cell r="O6">
            <v>4922.3077520000006</v>
          </cell>
          <cell r="P6">
            <v>6413.4489563999996</v>
          </cell>
          <cell r="Q6">
            <v>18195.369668400002</v>
          </cell>
          <cell r="R6">
            <v>8811.3576000000012</v>
          </cell>
          <cell r="S6">
            <v>10553.517200000002</v>
          </cell>
          <cell r="T6">
            <v>12407.115932000002</v>
          </cell>
          <cell r="U6">
            <v>14718.651575800002</v>
          </cell>
          <cell r="V6">
            <v>46490.642307800008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  <row r="10">
          <cell r="AP10" t="str">
            <v>Wfr/Mo (K)</v>
          </cell>
          <cell r="AQ10" t="str">
            <v>Wfr Dia (mm)</v>
          </cell>
          <cell r="AR10" t="str">
            <v>Yield (%)</v>
          </cell>
        </row>
        <row r="12">
          <cell r="AP12">
            <v>15</v>
          </cell>
          <cell r="AQ12">
            <v>200</v>
          </cell>
          <cell r="AR12">
            <v>0.8</v>
          </cell>
        </row>
        <row r="13">
          <cell r="AP13">
            <v>30</v>
          </cell>
          <cell r="AQ13">
            <v>300</v>
          </cell>
          <cell r="AR13">
            <v>0.8</v>
          </cell>
        </row>
        <row r="14">
          <cell r="AP14">
            <v>9</v>
          </cell>
          <cell r="AQ14">
            <v>200</v>
          </cell>
          <cell r="AR14">
            <v>0.8</v>
          </cell>
        </row>
        <row r="15">
          <cell r="AP15">
            <v>25</v>
          </cell>
          <cell r="AQ15">
            <v>200</v>
          </cell>
          <cell r="AR15">
            <v>0.85</v>
          </cell>
        </row>
        <row r="18">
          <cell r="AP18">
            <v>20</v>
          </cell>
          <cell r="AQ18">
            <v>200</v>
          </cell>
          <cell r="AR18">
            <v>0.9</v>
          </cell>
        </row>
        <row r="19">
          <cell r="AP19">
            <v>30</v>
          </cell>
          <cell r="AQ19">
            <v>200</v>
          </cell>
          <cell r="AR19">
            <v>0.9</v>
          </cell>
        </row>
        <row r="20">
          <cell r="B20" t="str">
            <v>NAND</v>
          </cell>
          <cell r="C20">
            <v>0</v>
          </cell>
          <cell r="D20">
            <v>20</v>
          </cell>
          <cell r="E20">
            <v>25</v>
          </cell>
          <cell r="F20">
            <v>38</v>
          </cell>
          <cell r="G20">
            <v>83</v>
          </cell>
          <cell r="H20">
            <v>54</v>
          </cell>
          <cell r="I20">
            <v>113</v>
          </cell>
          <cell r="J20">
            <v>212</v>
          </cell>
          <cell r="K20">
            <v>321</v>
          </cell>
          <cell r="L20">
            <v>700</v>
          </cell>
          <cell r="M20">
            <v>375</v>
          </cell>
          <cell r="N20">
            <v>473</v>
          </cell>
          <cell r="O20">
            <v>559.5</v>
          </cell>
          <cell r="P20">
            <v>667.15</v>
          </cell>
          <cell r="Q20">
            <v>2074.65</v>
          </cell>
          <cell r="R20">
            <v>1440</v>
          </cell>
          <cell r="S20">
            <v>1742</v>
          </cell>
          <cell r="T20">
            <v>1972</v>
          </cell>
          <cell r="U20">
            <v>2088</v>
          </cell>
          <cell r="V20">
            <v>7242</v>
          </cell>
          <cell r="AA20">
            <v>0</v>
          </cell>
          <cell r="AF20">
            <v>0</v>
          </cell>
          <cell r="AK20">
            <v>0</v>
          </cell>
        </row>
        <row r="24">
          <cell r="AP24">
            <v>30</v>
          </cell>
          <cell r="AQ24">
            <v>300</v>
          </cell>
          <cell r="AR24">
            <v>0.8</v>
          </cell>
        </row>
        <row r="26">
          <cell r="B26" t="str">
            <v>NAND (NROM)</v>
          </cell>
          <cell r="C26">
            <v>1</v>
          </cell>
          <cell r="D26">
            <v>1</v>
          </cell>
          <cell r="E26">
            <v>20</v>
          </cell>
          <cell r="F26">
            <v>35</v>
          </cell>
          <cell r="G26">
            <v>57</v>
          </cell>
          <cell r="H26">
            <v>43</v>
          </cell>
          <cell r="I26">
            <v>50</v>
          </cell>
          <cell r="J26">
            <v>58</v>
          </cell>
          <cell r="K26">
            <v>63</v>
          </cell>
          <cell r="L26">
            <v>214</v>
          </cell>
          <cell r="M26">
            <v>75</v>
          </cell>
          <cell r="N26">
            <v>85</v>
          </cell>
          <cell r="O26">
            <v>95</v>
          </cell>
          <cell r="P26">
            <v>110</v>
          </cell>
          <cell r="Q26">
            <v>365</v>
          </cell>
          <cell r="R26">
            <v>69.12</v>
          </cell>
          <cell r="S26">
            <v>83.616</v>
          </cell>
          <cell r="T26">
            <v>94.655999999999992</v>
          </cell>
          <cell r="U26">
            <v>100.22399999999999</v>
          </cell>
          <cell r="V26">
            <v>347.61599999999999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0</v>
          </cell>
          <cell r="AO26">
            <v>0</v>
          </cell>
          <cell r="AT26">
            <v>1</v>
          </cell>
        </row>
        <row r="30">
          <cell r="AP30">
            <v>15</v>
          </cell>
          <cell r="AQ30">
            <v>300</v>
          </cell>
          <cell r="AR30">
            <v>0.85</v>
          </cell>
        </row>
        <row r="31">
          <cell r="AP31">
            <v>26</v>
          </cell>
          <cell r="AQ31">
            <v>200</v>
          </cell>
          <cell r="AR31">
            <v>0.85</v>
          </cell>
        </row>
        <row r="32">
          <cell r="B32" t="str">
            <v>NAND (From IM Flash)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18.62</v>
          </cell>
          <cell r="N32">
            <v>29.4</v>
          </cell>
          <cell r="O32">
            <v>58.8</v>
          </cell>
          <cell r="P32">
            <v>127.39999999999999</v>
          </cell>
          <cell r="Q32">
            <v>234.21999999999997</v>
          </cell>
          <cell r="R32">
            <v>159.25</v>
          </cell>
          <cell r="S32">
            <v>245</v>
          </cell>
          <cell r="T32">
            <v>345.45</v>
          </cell>
          <cell r="U32">
            <v>504.7</v>
          </cell>
          <cell r="V32">
            <v>1254.4000000000001</v>
          </cell>
          <cell r="AA32">
            <v>0</v>
          </cell>
          <cell r="AF32">
            <v>0</v>
          </cell>
          <cell r="AK32">
            <v>0</v>
          </cell>
          <cell r="AM32">
            <v>180</v>
          </cell>
          <cell r="AN32">
            <v>2</v>
          </cell>
          <cell r="AO32">
            <v>0.8</v>
          </cell>
          <cell r="AP32">
            <v>26</v>
          </cell>
          <cell r="AQ32">
            <v>200</v>
          </cell>
          <cell r="AR32">
            <v>0.85</v>
          </cell>
          <cell r="AS32" t="str">
            <v>Qtr</v>
          </cell>
          <cell r="AT32">
            <v>0.33300000000000002</v>
          </cell>
          <cell r="AU32">
            <v>20.358401370120117</v>
          </cell>
        </row>
        <row r="36">
          <cell r="AP36">
            <v>20</v>
          </cell>
          <cell r="AQ36">
            <v>200</v>
          </cell>
          <cell r="AR36">
            <v>0.8</v>
          </cell>
        </row>
        <row r="37">
          <cell r="AP37">
            <v>48</v>
          </cell>
          <cell r="AQ37">
            <v>200</v>
          </cell>
          <cell r="AR37">
            <v>0.8</v>
          </cell>
        </row>
        <row r="38">
          <cell r="AP38">
            <v>28</v>
          </cell>
          <cell r="AQ38">
            <v>300</v>
          </cell>
          <cell r="AR38">
            <v>0.8</v>
          </cell>
        </row>
        <row r="39">
          <cell r="B39" t="str">
            <v>Total NAND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38</v>
          </cell>
          <cell r="N39">
            <v>60</v>
          </cell>
          <cell r="O39">
            <v>120</v>
          </cell>
          <cell r="P39">
            <v>260</v>
          </cell>
          <cell r="Q39">
            <v>478</v>
          </cell>
          <cell r="R39">
            <v>325</v>
          </cell>
          <cell r="S39">
            <v>500</v>
          </cell>
          <cell r="T39">
            <v>705</v>
          </cell>
          <cell r="U39">
            <v>1030</v>
          </cell>
          <cell r="V39">
            <v>2560</v>
          </cell>
          <cell r="AA39">
            <v>0</v>
          </cell>
          <cell r="AF39">
            <v>0</v>
          </cell>
          <cell r="AK39">
            <v>0</v>
          </cell>
          <cell r="AM39">
            <v>70</v>
          </cell>
          <cell r="AN39" t="str">
            <v>MLC</v>
          </cell>
          <cell r="AO39">
            <v>2</v>
          </cell>
          <cell r="AP39">
            <v>44</v>
          </cell>
          <cell r="AQ39">
            <v>300</v>
          </cell>
          <cell r="AR39">
            <v>0.8</v>
          </cell>
          <cell r="AS39" t="str">
            <v>Qtr</v>
          </cell>
          <cell r="AT39">
            <v>0.33300000000000002</v>
          </cell>
          <cell r="AU39">
            <v>1411.4237554172248</v>
          </cell>
        </row>
        <row r="42">
          <cell r="AP42">
            <v>40</v>
          </cell>
          <cell r="AQ42">
            <v>200</v>
          </cell>
          <cell r="AR42">
            <v>0.9</v>
          </cell>
        </row>
        <row r="43">
          <cell r="AP43">
            <v>20</v>
          </cell>
          <cell r="AQ43">
            <v>300</v>
          </cell>
          <cell r="AR43">
            <v>0.9</v>
          </cell>
        </row>
        <row r="44">
          <cell r="B44" t="str">
            <v>NAND (From IM Flash)</v>
          </cell>
          <cell r="C44">
            <v>1</v>
          </cell>
          <cell r="D44">
            <v>1.8</v>
          </cell>
          <cell r="E44">
            <v>2.4</v>
          </cell>
          <cell r="F44">
            <v>2.5</v>
          </cell>
          <cell r="G44">
            <v>7.6999999999999993</v>
          </cell>
          <cell r="H44">
            <v>2</v>
          </cell>
          <cell r="I44">
            <v>5</v>
          </cell>
          <cell r="J44">
            <v>27</v>
          </cell>
          <cell r="K44">
            <v>36</v>
          </cell>
          <cell r="L44">
            <v>70</v>
          </cell>
          <cell r="M44">
            <v>19.38</v>
          </cell>
          <cell r="N44">
            <v>30.6</v>
          </cell>
          <cell r="O44">
            <v>61.2</v>
          </cell>
          <cell r="P44">
            <v>132.6</v>
          </cell>
          <cell r="Q44">
            <v>243.78</v>
          </cell>
          <cell r="R44">
            <v>165.75</v>
          </cell>
          <cell r="S44">
            <v>255</v>
          </cell>
          <cell r="T44">
            <v>359.55</v>
          </cell>
          <cell r="U44">
            <v>525.29999999999995</v>
          </cell>
          <cell r="V44">
            <v>1305.5999999999999</v>
          </cell>
          <cell r="AA44">
            <v>0</v>
          </cell>
          <cell r="AF44">
            <v>0</v>
          </cell>
          <cell r="AK44">
            <v>0</v>
          </cell>
          <cell r="AN44">
            <v>0</v>
          </cell>
          <cell r="AO44">
            <v>0</v>
          </cell>
          <cell r="AQ44">
            <v>300</v>
          </cell>
          <cell r="AT44">
            <v>1</v>
          </cell>
        </row>
        <row r="45">
          <cell r="AP45">
            <v>260</v>
          </cell>
          <cell r="AQ45">
            <v>200</v>
          </cell>
          <cell r="AR45">
            <v>0.9</v>
          </cell>
        </row>
        <row r="48">
          <cell r="AP48">
            <v>30</v>
          </cell>
          <cell r="AQ48">
            <v>300</v>
          </cell>
          <cell r="AR48">
            <v>0.8</v>
          </cell>
        </row>
        <row r="54">
          <cell r="AP54">
            <v>30</v>
          </cell>
          <cell r="AQ54">
            <v>300</v>
          </cell>
          <cell r="AR54">
            <v>0.8</v>
          </cell>
        </row>
        <row r="60">
          <cell r="AP60">
            <v>30</v>
          </cell>
          <cell r="AQ60">
            <v>300</v>
          </cell>
          <cell r="AR60">
            <v>0.8</v>
          </cell>
        </row>
        <row r="66">
          <cell r="AP66">
            <v>30</v>
          </cell>
          <cell r="AQ66">
            <v>300</v>
          </cell>
          <cell r="AR66">
            <v>0.8</v>
          </cell>
        </row>
        <row r="72">
          <cell r="AP72">
            <v>30</v>
          </cell>
          <cell r="AQ72">
            <v>300</v>
          </cell>
          <cell r="AR72">
            <v>0.8</v>
          </cell>
        </row>
        <row r="74">
          <cell r="B74" t="str">
            <v>NAND</v>
          </cell>
          <cell r="C74">
            <v>16.897999999999996</v>
          </cell>
          <cell r="D74">
            <v>20.997999999999998</v>
          </cell>
          <cell r="E74">
            <v>22.297999999999998</v>
          </cell>
          <cell r="F74">
            <v>25.547999999999998</v>
          </cell>
          <cell r="G74">
            <v>85.74199999999999</v>
          </cell>
          <cell r="H74">
            <v>32</v>
          </cell>
          <cell r="I74">
            <v>39</v>
          </cell>
          <cell r="J74">
            <v>54</v>
          </cell>
          <cell r="K74">
            <v>65</v>
          </cell>
          <cell r="L74">
            <v>190</v>
          </cell>
          <cell r="M74">
            <v>91.972799999999992</v>
          </cell>
          <cell r="N74">
            <v>110.36735999999999</v>
          </cell>
          <cell r="O74">
            <v>132.44083199999997</v>
          </cell>
          <cell r="P74">
            <v>158.92899839999995</v>
          </cell>
          <cell r="Q74">
            <v>493.70999039999992</v>
          </cell>
          <cell r="R74">
            <v>137.95919999999998</v>
          </cell>
          <cell r="S74">
            <v>165.55104</v>
          </cell>
          <cell r="T74">
            <v>198.66124799999994</v>
          </cell>
          <cell r="U74">
            <v>238.39349759999993</v>
          </cell>
          <cell r="V74">
            <v>740.56498559999977</v>
          </cell>
          <cell r="AA74">
            <v>0</v>
          </cell>
          <cell r="AF74">
            <v>0</v>
          </cell>
          <cell r="AK74">
            <v>0</v>
          </cell>
          <cell r="AN74">
            <v>0</v>
          </cell>
          <cell r="AO74">
            <v>0</v>
          </cell>
          <cell r="AT74">
            <v>1</v>
          </cell>
        </row>
        <row r="78">
          <cell r="AP78">
            <v>30</v>
          </cell>
          <cell r="AQ78">
            <v>300</v>
          </cell>
          <cell r="AR78">
            <v>0.8</v>
          </cell>
        </row>
        <row r="80">
          <cell r="B80" t="str">
            <v>NAND</v>
          </cell>
          <cell r="C80">
            <v>198.02367745145997</v>
          </cell>
          <cell r="D80">
            <v>215.84580842209138</v>
          </cell>
          <cell r="E80">
            <v>367</v>
          </cell>
          <cell r="F80">
            <v>500</v>
          </cell>
          <cell r="G80">
            <v>1280.8694858735514</v>
          </cell>
          <cell r="H80">
            <v>684</v>
          </cell>
          <cell r="I80">
            <v>738</v>
          </cell>
          <cell r="J80">
            <v>1012</v>
          </cell>
          <cell r="K80">
            <v>1457</v>
          </cell>
          <cell r="L80">
            <v>3891</v>
          </cell>
          <cell r="M80">
            <v>1690</v>
          </cell>
          <cell r="N80">
            <v>2196</v>
          </cell>
          <cell r="O80">
            <v>2988</v>
          </cell>
          <cell r="P80">
            <v>4034</v>
          </cell>
          <cell r="Q80">
            <v>10908</v>
          </cell>
          <cell r="R80">
            <v>4718</v>
          </cell>
          <cell r="S80">
            <v>5616</v>
          </cell>
          <cell r="T80">
            <v>6626</v>
          </cell>
          <cell r="U80">
            <v>7818</v>
          </cell>
          <cell r="V80">
            <v>24778</v>
          </cell>
          <cell r="AA80">
            <v>0</v>
          </cell>
          <cell r="AF80">
            <v>0</v>
          </cell>
          <cell r="AK80">
            <v>0</v>
          </cell>
          <cell r="AN80">
            <v>0</v>
          </cell>
          <cell r="AO80">
            <v>0</v>
          </cell>
          <cell r="AT80">
            <v>1</v>
          </cell>
        </row>
        <row r="84">
          <cell r="AP84">
            <v>23</v>
          </cell>
          <cell r="AQ84">
            <v>200</v>
          </cell>
          <cell r="AR84">
            <v>0.8</v>
          </cell>
        </row>
        <row r="85">
          <cell r="AP85">
            <v>24</v>
          </cell>
          <cell r="AQ85">
            <v>200</v>
          </cell>
          <cell r="AR85">
            <v>0.9</v>
          </cell>
        </row>
        <row r="86">
          <cell r="AP86">
            <v>28</v>
          </cell>
          <cell r="AQ86">
            <v>200</v>
          </cell>
          <cell r="AR86">
            <v>0.9</v>
          </cell>
        </row>
        <row r="87">
          <cell r="AP87">
            <v>24</v>
          </cell>
          <cell r="AQ87">
            <v>200</v>
          </cell>
          <cell r="AR87">
            <v>0.9</v>
          </cell>
        </row>
        <row r="92">
          <cell r="B92" t="str">
            <v>NAND</v>
          </cell>
          <cell r="C92">
            <v>0</v>
          </cell>
          <cell r="D92">
            <v>1.6</v>
          </cell>
          <cell r="E92">
            <v>2</v>
          </cell>
          <cell r="F92">
            <v>3.04</v>
          </cell>
          <cell r="G92">
            <v>6.6400000000000006</v>
          </cell>
          <cell r="H92">
            <v>4.32</v>
          </cell>
          <cell r="I92">
            <v>9.0400000000000009</v>
          </cell>
          <cell r="J92">
            <v>16.96</v>
          </cell>
          <cell r="K92">
            <v>25.68</v>
          </cell>
          <cell r="L92">
            <v>56</v>
          </cell>
          <cell r="M92">
            <v>30</v>
          </cell>
          <cell r="N92">
            <v>37.840000000000003</v>
          </cell>
          <cell r="O92">
            <v>44.76</v>
          </cell>
          <cell r="P92">
            <v>53.372</v>
          </cell>
          <cell r="Q92">
            <v>165.97199999999998</v>
          </cell>
          <cell r="R92">
            <v>115.2</v>
          </cell>
          <cell r="S92">
            <v>139.36000000000001</v>
          </cell>
          <cell r="T92">
            <v>157.76</v>
          </cell>
          <cell r="U92">
            <v>167.04</v>
          </cell>
          <cell r="V92">
            <v>579.36</v>
          </cell>
          <cell r="AA92">
            <v>0</v>
          </cell>
          <cell r="AF92">
            <v>0</v>
          </cell>
          <cell r="AK92">
            <v>0</v>
          </cell>
        </row>
        <row r="96">
          <cell r="AP96">
            <v>50</v>
          </cell>
          <cell r="AQ96">
            <v>200</v>
          </cell>
          <cell r="AR96">
            <v>0.8</v>
          </cell>
        </row>
        <row r="97">
          <cell r="AP97">
            <v>50</v>
          </cell>
          <cell r="AQ97">
            <v>200</v>
          </cell>
          <cell r="AR97">
            <v>0.8</v>
          </cell>
        </row>
        <row r="98">
          <cell r="B98" t="str">
            <v>NAND</v>
          </cell>
          <cell r="C98">
            <v>78.55</v>
          </cell>
          <cell r="D98">
            <v>89.3</v>
          </cell>
          <cell r="E98">
            <v>94.9</v>
          </cell>
          <cell r="F98">
            <v>150</v>
          </cell>
          <cell r="G98">
            <v>412.75</v>
          </cell>
          <cell r="H98">
            <v>175</v>
          </cell>
          <cell r="I98">
            <v>275</v>
          </cell>
          <cell r="J98">
            <v>350</v>
          </cell>
          <cell r="K98">
            <v>480</v>
          </cell>
          <cell r="L98">
            <v>1280</v>
          </cell>
          <cell r="M98">
            <v>742.99200000000008</v>
          </cell>
          <cell r="N98">
            <v>854.44079999999997</v>
          </cell>
          <cell r="O98">
            <v>982.60692000000006</v>
          </cell>
          <cell r="P98">
            <v>1129.9979580000002</v>
          </cell>
          <cell r="Q98">
            <v>3710.0376780000006</v>
          </cell>
          <cell r="R98">
            <v>2006.0784000000003</v>
          </cell>
          <cell r="S98">
            <v>2306.9901600000003</v>
          </cell>
          <cell r="T98">
            <v>2653.0386840000006</v>
          </cell>
          <cell r="U98">
            <v>3276.9940782000003</v>
          </cell>
          <cell r="V98">
            <v>10243.1013222</v>
          </cell>
          <cell r="AA98">
            <v>0</v>
          </cell>
          <cell r="AF98">
            <v>0</v>
          </cell>
          <cell r="AK98">
            <v>0</v>
          </cell>
          <cell r="AM98">
            <v>55</v>
          </cell>
          <cell r="AN98" t="str">
            <v>MLC</v>
          </cell>
          <cell r="AO98">
            <v>2</v>
          </cell>
          <cell r="AP98">
            <v>70</v>
          </cell>
          <cell r="AQ98">
            <v>300</v>
          </cell>
          <cell r="AR98">
            <v>0.7</v>
          </cell>
          <cell r="AS98" t="str">
            <v>Qtr</v>
          </cell>
          <cell r="AT98">
            <v>0.33300000000000002</v>
          </cell>
          <cell r="AU98">
            <v>3182.596202814384</v>
          </cell>
          <cell r="AV98">
            <v>4326.660850552501</v>
          </cell>
          <cell r="AW98">
            <v>540.83260631906262</v>
          </cell>
        </row>
        <row r="99">
          <cell r="AP99">
            <v>20</v>
          </cell>
          <cell r="AQ99">
            <v>200</v>
          </cell>
          <cell r="AR99">
            <v>0.8</v>
          </cell>
        </row>
        <row r="102">
          <cell r="AP102">
            <v>30</v>
          </cell>
          <cell r="AQ102">
            <v>300</v>
          </cell>
          <cell r="AR102">
            <v>0.8</v>
          </cell>
        </row>
      </sheetData>
      <sheetData sheetId="3" refreshError="1">
        <row r="4">
          <cell r="B4" t="str">
            <v>DRAM ASP</v>
          </cell>
          <cell r="G4">
            <v>1</v>
          </cell>
          <cell r="H4">
            <v>3.5739999999999998</v>
          </cell>
          <cell r="I4">
            <v>2.5345</v>
          </cell>
          <cell r="J4">
            <v>2.7250000000000001</v>
          </cell>
          <cell r="K4">
            <v>1.9949999999999999</v>
          </cell>
          <cell r="L4">
            <v>2.7218125000000004</v>
          </cell>
          <cell r="M4">
            <v>2.1749999999999998</v>
          </cell>
          <cell r="N4">
            <v>2.2075</v>
          </cell>
          <cell r="O4">
            <v>2.2199999999999998</v>
          </cell>
          <cell r="P4">
            <v>2.25875</v>
          </cell>
          <cell r="Q4">
            <v>2.2131249999999998</v>
          </cell>
          <cell r="R4">
            <v>2.2087500000000002</v>
          </cell>
          <cell r="S4">
            <v>2.2199999999999998</v>
          </cell>
          <cell r="T4">
            <v>2.1812499999999999</v>
          </cell>
          <cell r="U4">
            <v>2.1924999999999999</v>
          </cell>
          <cell r="V4">
            <v>2.2006250000000001</v>
          </cell>
          <cell r="W4">
            <v>2.1425000000000001</v>
          </cell>
          <cell r="X4">
            <v>2.1425000000000001</v>
          </cell>
          <cell r="Y4">
            <v>2.1037499999999998</v>
          </cell>
          <cell r="Z4">
            <v>2.1150000000000002</v>
          </cell>
          <cell r="AA4">
            <v>2.1259375</v>
          </cell>
          <cell r="AB4">
            <v>2.0695000000000001</v>
          </cell>
          <cell r="AC4">
            <v>2.0740000000000003</v>
          </cell>
          <cell r="AD4">
            <v>2.0284999999999997</v>
          </cell>
          <cell r="AE4">
            <v>2.0329999999999999</v>
          </cell>
          <cell r="AF4">
            <v>2.0512500000000005</v>
          </cell>
          <cell r="AG4">
            <v>1.9875000000000003</v>
          </cell>
          <cell r="AH4">
            <v>1.9875000000000003</v>
          </cell>
          <cell r="AI4">
            <v>1.9375</v>
          </cell>
          <cell r="AJ4">
            <v>1.9375</v>
          </cell>
          <cell r="AK4">
            <v>1.9625000000000001</v>
          </cell>
        </row>
        <row r="9">
          <cell r="B9" t="str">
            <v>xSRAM ASP</v>
          </cell>
          <cell r="C9">
            <v>2.4874146240770556</v>
          </cell>
          <cell r="D9">
            <v>2.2692565484355911</v>
          </cell>
          <cell r="E9">
            <v>2.5678974528853673</v>
          </cell>
          <cell r="F9">
            <v>2.4252035130529772</v>
          </cell>
          <cell r="G9">
            <v>2.4374430346127478</v>
          </cell>
          <cell r="H9">
            <v>2.3039433374003284</v>
          </cell>
          <cell r="I9">
            <v>2.1887461705303117</v>
          </cell>
          <cell r="J9">
            <v>2.0793088620037961</v>
          </cell>
          <cell r="K9">
            <v>1.9753434189036061</v>
          </cell>
          <cell r="L9">
            <v>2.1368354472095104</v>
          </cell>
          <cell r="M9">
            <v>1.8765762479584258</v>
          </cell>
          <cell r="N9">
            <v>1.7827474355605044</v>
          </cell>
          <cell r="O9">
            <v>1.6936100637824791</v>
          </cell>
          <cell r="P9">
            <v>1.6089295605933551</v>
          </cell>
          <cell r="Q9">
            <v>1.7404658269736912</v>
          </cell>
          <cell r="R9">
            <v>1.5284830825636873</v>
          </cell>
          <cell r="S9">
            <v>1.4520589284355028</v>
          </cell>
          <cell r="T9">
            <v>1.3794559820137275</v>
          </cell>
          <cell r="U9">
            <v>1.310483182913041</v>
          </cell>
          <cell r="V9">
            <v>1.4176202939814895</v>
          </cell>
          <cell r="W9">
            <v>1.2449590237673889</v>
          </cell>
          <cell r="X9">
            <v>1.1827110725790193</v>
          </cell>
          <cell r="Y9">
            <v>1.1235755189500682</v>
          </cell>
          <cell r="Z9">
            <v>1.0673967430025648</v>
          </cell>
          <cell r="AA9">
            <v>1.1546605895747604</v>
          </cell>
          <cell r="AB9">
            <v>1.0140269058524365</v>
          </cell>
          <cell r="AC9">
            <v>0.96332556055981466</v>
          </cell>
          <cell r="AD9">
            <v>0.91515928253182388</v>
          </cell>
          <cell r="AE9">
            <v>0.8694013184052326</v>
          </cell>
          <cell r="AF9">
            <v>0.94047826683732694</v>
          </cell>
          <cell r="AG9">
            <v>0.8259312524849709</v>
          </cell>
          <cell r="AH9">
            <v>0.78463468986072227</v>
          </cell>
          <cell r="AI9">
            <v>0.74540295536768608</v>
          </cell>
          <cell r="AJ9">
            <v>0.70813280759930175</v>
          </cell>
          <cell r="AK9">
            <v>0.76602542632817028</v>
          </cell>
        </row>
        <row r="10">
          <cell r="B10" t="str">
            <v>NAND ASP (256 Mb) *</v>
          </cell>
          <cell r="C10">
            <v>4.0448000000000004</v>
          </cell>
          <cell r="D10">
            <v>4.0448000000000004</v>
          </cell>
          <cell r="E10">
            <v>4.0448000000000004</v>
          </cell>
          <cell r="F10">
            <v>4.0448000000000004</v>
          </cell>
          <cell r="G10">
            <v>5.875</v>
          </cell>
          <cell r="H10">
            <v>3.6612499999999999</v>
          </cell>
          <cell r="I10">
            <v>3.0137499999999999</v>
          </cell>
          <cell r="J10">
            <v>2.86375</v>
          </cell>
          <cell r="K10">
            <v>2.5762499999999999</v>
          </cell>
          <cell r="L10">
            <v>3.0287500000000001</v>
          </cell>
          <cell r="M10">
            <v>2.3186249999999999</v>
          </cell>
          <cell r="N10">
            <v>1.9708312499999998</v>
          </cell>
          <cell r="O10">
            <v>1.576665</v>
          </cell>
          <cell r="P10">
            <v>1.1824987499999999</v>
          </cell>
          <cell r="Q10">
            <v>1.7621549999999999</v>
          </cell>
          <cell r="R10">
            <v>1.0642488749999999</v>
          </cell>
          <cell r="S10">
            <v>0.90461154374999986</v>
          </cell>
          <cell r="T10">
            <v>0.81415038937499984</v>
          </cell>
          <cell r="U10">
            <v>0.65132031149999992</v>
          </cell>
          <cell r="V10">
            <v>0.85858277990624998</v>
          </cell>
          <cell r="W10">
            <v>0.58618828034999992</v>
          </cell>
          <cell r="X10">
            <v>0.49826003829749993</v>
          </cell>
          <cell r="Y10">
            <v>0.44843403446774993</v>
          </cell>
          <cell r="Z10">
            <v>0.35874722757419997</v>
          </cell>
          <cell r="AA10">
            <v>0.47290739517236247</v>
          </cell>
          <cell r="AB10">
            <v>0.32287250481677998</v>
          </cell>
          <cell r="AC10">
            <v>0.27444162909426295</v>
          </cell>
          <cell r="AD10">
            <v>0.24699746618483667</v>
          </cell>
          <cell r="AE10">
            <v>0.19759797294786935</v>
          </cell>
          <cell r="AF10">
            <v>0.26047739326093722</v>
          </cell>
          <cell r="AG10">
            <v>0.17783817565308241</v>
          </cell>
          <cell r="AH10">
            <v>0.15116244930512004</v>
          </cell>
          <cell r="AI10">
            <v>0.13604620437460804</v>
          </cell>
          <cell r="AJ10">
            <v>0.10883696349968644</v>
          </cell>
          <cell r="AK10">
            <v>0.14347094820812423</v>
          </cell>
        </row>
        <row r="11">
          <cell r="B11" t="str">
            <v>NOR ASP</v>
          </cell>
          <cell r="C11">
            <v>4.8</v>
          </cell>
          <cell r="D11">
            <v>4.9000000000000004</v>
          </cell>
          <cell r="E11">
            <v>4.5999999999999996</v>
          </cell>
          <cell r="F11">
            <v>4.3</v>
          </cell>
          <cell r="G11">
            <v>4.6499999999999995</v>
          </cell>
          <cell r="H11">
            <v>4.2139999999999995</v>
          </cell>
          <cell r="I11">
            <v>4.0032999999999994</v>
          </cell>
          <cell r="J11">
            <v>3.7230689999999997</v>
          </cell>
          <cell r="K11">
            <v>3.6486076199999995</v>
          </cell>
          <cell r="L11">
            <v>3.8972441549999992</v>
          </cell>
          <cell r="M11">
            <v>3.5756354675999993</v>
          </cell>
          <cell r="N11">
            <v>3.3968536942199989</v>
          </cell>
          <cell r="O11">
            <v>3.1590739356245994</v>
          </cell>
          <cell r="P11">
            <v>3.0958924569121073</v>
          </cell>
          <cell r="Q11">
            <v>3.3068638885891763</v>
          </cell>
          <cell r="R11">
            <v>3.0339746077738652</v>
          </cell>
          <cell r="S11">
            <v>2.882275877385172</v>
          </cell>
          <cell r="T11">
            <v>2.68051656596821</v>
          </cell>
          <cell r="U11">
            <v>2.6269062346488457</v>
          </cell>
          <cell r="V11">
            <v>2.8059183214440235</v>
          </cell>
          <cell r="W11">
            <v>2.5743681099558686</v>
          </cell>
          <cell r="X11">
            <v>2.4456497044580749</v>
          </cell>
          <cell r="Y11">
            <v>2.2744542251460098</v>
          </cell>
          <cell r="Z11">
            <v>2.2289651406430897</v>
          </cell>
          <cell r="AA11">
            <v>2.3808592950507608</v>
          </cell>
          <cell r="AB11">
            <v>2.1843858378302277</v>
          </cell>
          <cell r="AC11">
            <v>2.0751665459387163</v>
          </cell>
          <cell r="AD11">
            <v>1.9299048877230063</v>
          </cell>
          <cell r="AE11">
            <v>1.8913067899685461</v>
          </cell>
          <cell r="AF11">
            <v>2.0201910153651239</v>
          </cell>
          <cell r="AG11">
            <v>1.8534806541691751</v>
          </cell>
          <cell r="AH11">
            <v>1.7608066214607163</v>
          </cell>
          <cell r="AI11">
            <v>1.6375501579584664</v>
          </cell>
          <cell r="AJ11">
            <v>1.604799154799297</v>
          </cell>
          <cell r="AK11">
            <v>1.7141591470969137</v>
          </cell>
        </row>
        <row r="15">
          <cell r="B15" t="str">
            <v>NAND Revenue</v>
          </cell>
          <cell r="C15">
            <v>1628.5030259830296</v>
          </cell>
          <cell r="D15">
            <v>1610.0857943732769</v>
          </cell>
          <cell r="E15">
            <v>1448.31672</v>
          </cell>
          <cell r="F15">
            <v>1726.7340000000002</v>
          </cell>
          <cell r="G15">
            <v>6949.523915356307</v>
          </cell>
          <cell r="H15">
            <v>2138.4889000000003</v>
          </cell>
          <cell r="I15">
            <v>2397.4699749999995</v>
          </cell>
          <cell r="J15">
            <v>2753.1380022899998</v>
          </cell>
          <cell r="K15">
            <v>3456.0959442391199</v>
          </cell>
          <cell r="L15">
            <v>10745.192821529119</v>
          </cell>
          <cell r="M15">
            <v>3238.1361934000006</v>
          </cell>
          <cell r="N15">
            <v>3275.9793485680002</v>
          </cell>
          <cell r="O15">
            <v>3912.6299492102798</v>
          </cell>
          <cell r="P15">
            <v>4739.6590358992516</v>
          </cell>
          <cell r="Q15">
            <v>15166.40452707753</v>
          </cell>
          <cell r="R15">
            <v>5408.8089205709011</v>
          </cell>
          <cell r="S15">
            <v>5515.4934676188186</v>
          </cell>
          <cell r="T15">
            <v>5632.6845272162973</v>
          </cell>
          <cell r="U15">
            <v>5780.890745218906</v>
          </cell>
          <cell r="V15">
            <v>22337.877660624923</v>
          </cell>
          <cell r="AA15">
            <v>0</v>
          </cell>
        </row>
        <row r="29">
          <cell r="B29" t="str">
            <v>NAND</v>
          </cell>
          <cell r="C29">
            <v>0</v>
          </cell>
          <cell r="D29">
            <v>63.5</v>
          </cell>
          <cell r="E29">
            <v>52.5</v>
          </cell>
          <cell r="F29">
            <v>70.3</v>
          </cell>
          <cell r="G29">
            <v>186.3</v>
          </cell>
          <cell r="H29">
            <v>98.28</v>
          </cell>
          <cell r="I29">
            <v>179.67000000000002</v>
          </cell>
          <cell r="J29">
            <v>285.61082549999998</v>
          </cell>
          <cell r="K29">
            <v>439.37722728899996</v>
          </cell>
          <cell r="L29">
            <v>1002.9380527889999</v>
          </cell>
          <cell r="M29">
            <v>350.625</v>
          </cell>
          <cell r="N29">
            <v>366.57499999999999</v>
          </cell>
          <cell r="O29">
            <v>372.0675</v>
          </cell>
          <cell r="P29">
            <v>383.61124999999998</v>
          </cell>
          <cell r="Q29">
            <v>1472.8787499999999</v>
          </cell>
          <cell r="R29">
            <v>705.6</v>
          </cell>
          <cell r="S29">
            <v>705.51</v>
          </cell>
          <cell r="T29">
            <v>660.62</v>
          </cell>
          <cell r="U29">
            <v>595.07999999999993</v>
          </cell>
          <cell r="V29">
            <v>2666.81</v>
          </cell>
          <cell r="AA29">
            <v>0</v>
          </cell>
          <cell r="AF29">
            <v>0</v>
          </cell>
          <cell r="AK29">
            <v>0</v>
          </cell>
        </row>
        <row r="35">
          <cell r="B35" t="str">
            <v>NAND</v>
          </cell>
          <cell r="C35">
            <v>0</v>
          </cell>
          <cell r="D35">
            <v>3.1749999999999998</v>
          </cell>
          <cell r="E35">
            <v>42</v>
          </cell>
          <cell r="F35">
            <v>64.75</v>
          </cell>
          <cell r="G35">
            <v>645.80937499999993</v>
          </cell>
          <cell r="H35">
            <v>78.260000000000005</v>
          </cell>
          <cell r="I35">
            <v>79.5</v>
          </cell>
          <cell r="J35">
            <v>78.13881074999999</v>
          </cell>
          <cell r="K35">
            <v>86.232913766999985</v>
          </cell>
          <cell r="L35">
            <v>322.13172451699995</v>
          </cell>
          <cell r="M35">
            <v>70.125</v>
          </cell>
          <cell r="N35">
            <v>65.875</v>
          </cell>
          <cell r="O35">
            <v>63.175000000000004</v>
          </cell>
          <cell r="P35">
            <v>63.249999999999993</v>
          </cell>
          <cell r="Q35">
            <v>262.42500000000001</v>
          </cell>
          <cell r="R35">
            <v>33.8688</v>
          </cell>
          <cell r="S35">
            <v>33.86448</v>
          </cell>
          <cell r="T35">
            <v>31.709759999999999</v>
          </cell>
          <cell r="U35">
            <v>28.563839999999995</v>
          </cell>
          <cell r="V35">
            <v>128.00688</v>
          </cell>
          <cell r="AA35">
            <v>0</v>
          </cell>
          <cell r="AF35">
            <v>0</v>
          </cell>
          <cell r="AK35">
            <v>0</v>
          </cell>
          <cell r="AN35">
            <v>0</v>
          </cell>
          <cell r="AO35">
            <v>0</v>
          </cell>
          <cell r="AT35">
            <v>1</v>
          </cell>
        </row>
        <row r="41">
          <cell r="B41" t="str">
            <v>NAND (From IM Flash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43.172797500000001</v>
          </cell>
          <cell r="N41">
            <v>57.942438749999994</v>
          </cell>
          <cell r="O41">
            <v>92.70790199999999</v>
          </cell>
          <cell r="P41">
            <v>150.65034074999997</v>
          </cell>
          <cell r="Q41">
            <v>344.473479</v>
          </cell>
          <cell r="R41">
            <v>169.48163334374999</v>
          </cell>
          <cell r="S41">
            <v>221.62982821874996</v>
          </cell>
          <cell r="T41">
            <v>281.24825200959367</v>
          </cell>
          <cell r="U41">
            <v>328.72136121404998</v>
          </cell>
          <cell r="V41">
            <v>1001.0810747861435</v>
          </cell>
          <cell r="AA41">
            <v>0</v>
          </cell>
          <cell r="AF41">
            <v>0</v>
          </cell>
          <cell r="AK41">
            <v>0</v>
          </cell>
          <cell r="AM41">
            <v>180</v>
          </cell>
          <cell r="AN41">
            <v>2</v>
          </cell>
          <cell r="AO41">
            <v>0.8</v>
          </cell>
          <cell r="AP41">
            <v>26</v>
          </cell>
          <cell r="AQ41">
            <v>200</v>
          </cell>
          <cell r="AR41">
            <v>0.85</v>
          </cell>
          <cell r="AS41" t="str">
            <v>Qtr</v>
          </cell>
          <cell r="AT41">
            <v>0.33300000000000002</v>
          </cell>
          <cell r="AU41">
            <v>20.358401370120117</v>
          </cell>
        </row>
        <row r="48">
          <cell r="B48" t="str">
            <v>Total NAND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88.107749999999996</v>
          </cell>
          <cell r="N48">
            <v>118.24987499999999</v>
          </cell>
          <cell r="O48">
            <v>189.19979999999998</v>
          </cell>
          <cell r="P48">
            <v>307.44967500000001</v>
          </cell>
          <cell r="Q48">
            <v>703.00710000000004</v>
          </cell>
          <cell r="R48">
            <v>345.88088437499994</v>
          </cell>
          <cell r="S48">
            <v>452.305771875</v>
          </cell>
          <cell r="T48">
            <v>573.97602450937484</v>
          </cell>
          <cell r="U48">
            <v>670.85992084499992</v>
          </cell>
          <cell r="V48">
            <v>2043.0226016043748</v>
          </cell>
          <cell r="AA48">
            <v>0</v>
          </cell>
          <cell r="AF48">
            <v>0</v>
          </cell>
          <cell r="AK48">
            <v>0</v>
          </cell>
          <cell r="AM48">
            <v>70</v>
          </cell>
          <cell r="AN48">
            <v>0.77777777777777779</v>
          </cell>
          <cell r="AO48">
            <v>1.1000000000000001</v>
          </cell>
          <cell r="AP48">
            <v>44</v>
          </cell>
          <cell r="AQ48">
            <v>300</v>
          </cell>
          <cell r="AR48">
            <v>0.8</v>
          </cell>
          <cell r="AS48" t="str">
            <v>Qtr</v>
          </cell>
          <cell r="AT48">
            <v>0.33300000000000002</v>
          </cell>
          <cell r="AU48">
            <v>255.1644185929899</v>
          </cell>
        </row>
        <row r="53">
          <cell r="B53" t="str">
            <v>NAND (From IM Flash)</v>
          </cell>
          <cell r="C53">
            <v>4.0448000000000004</v>
          </cell>
          <cell r="D53">
            <v>7.2806400000000009</v>
          </cell>
          <cell r="E53">
            <v>9.7075200000000006</v>
          </cell>
          <cell r="F53">
            <v>10.112000000000002</v>
          </cell>
          <cell r="G53">
            <v>31.144960000000005</v>
          </cell>
          <cell r="H53">
            <v>7.3224999999999998</v>
          </cell>
          <cell r="I53">
            <v>15.06875</v>
          </cell>
          <cell r="J53">
            <v>77.321250000000006</v>
          </cell>
          <cell r="K53">
            <v>92.745000000000005</v>
          </cell>
          <cell r="L53">
            <v>192.45750000000001</v>
          </cell>
          <cell r="M53">
            <v>44.934952499999994</v>
          </cell>
          <cell r="N53">
            <v>60.307436249999995</v>
          </cell>
          <cell r="O53">
            <v>96.491898000000006</v>
          </cell>
          <cell r="P53">
            <v>156.79933424999999</v>
          </cell>
          <cell r="Q53">
            <v>358.53362099999998</v>
          </cell>
          <cell r="R53">
            <v>176.39925103124997</v>
          </cell>
          <cell r="S53">
            <v>230.67594365624996</v>
          </cell>
          <cell r="T53">
            <v>292.72777249978122</v>
          </cell>
          <cell r="U53">
            <v>342.13855963094994</v>
          </cell>
          <cell r="V53">
            <v>1041.9415268182311</v>
          </cell>
          <cell r="AA53">
            <v>0</v>
          </cell>
          <cell r="AF53">
            <v>0</v>
          </cell>
          <cell r="AK53">
            <v>0</v>
          </cell>
          <cell r="AN53">
            <v>0</v>
          </cell>
          <cell r="AO53">
            <v>0</v>
          </cell>
          <cell r="AQ53">
            <v>300</v>
          </cell>
          <cell r="AT53">
            <v>1</v>
          </cell>
        </row>
        <row r="83">
          <cell r="B83" t="str">
            <v>NAND **</v>
          </cell>
          <cell r="C83">
            <v>16.897999999999996</v>
          </cell>
          <cell r="D83">
            <v>20.997999999999998</v>
          </cell>
          <cell r="E83">
            <v>22.297999999999998</v>
          </cell>
          <cell r="F83">
            <v>25.547999999999998</v>
          </cell>
          <cell r="G83">
            <v>85.74199999999999</v>
          </cell>
          <cell r="H83">
            <v>105.444</v>
          </cell>
          <cell r="I83">
            <v>105.782625</v>
          </cell>
          <cell r="J83">
            <v>139.17825000000002</v>
          </cell>
          <cell r="K83">
            <v>150.71062499999999</v>
          </cell>
          <cell r="L83">
            <v>501.11550000000005</v>
          </cell>
          <cell r="M83">
            <v>213.25043339999996</v>
          </cell>
          <cell r="N83">
            <v>217.51544206799997</v>
          </cell>
          <cell r="O83">
            <v>208.81482438527996</v>
          </cell>
          <cell r="P83">
            <v>187.93334194675194</v>
          </cell>
          <cell r="Q83">
            <v>827.5140418000318</v>
          </cell>
          <cell r="R83">
            <v>146.82292339589995</v>
          </cell>
          <cell r="S83">
            <v>149.75938186381796</v>
          </cell>
          <cell r="T83">
            <v>161.74013241292337</v>
          </cell>
          <cell r="U83">
            <v>155.27052711640644</v>
          </cell>
          <cell r="V83">
            <v>613.59296478904776</v>
          </cell>
          <cell r="AA83">
            <v>0</v>
          </cell>
          <cell r="AF83">
            <v>0</v>
          </cell>
          <cell r="AK83">
            <v>0</v>
          </cell>
          <cell r="AN83">
            <v>0</v>
          </cell>
          <cell r="AO83">
            <v>0</v>
          </cell>
          <cell r="AT83">
            <v>1</v>
          </cell>
        </row>
        <row r="89">
          <cell r="B89" t="str">
            <v>NAND</v>
          </cell>
          <cell r="C89">
            <v>1089.13022598303</v>
          </cell>
          <cell r="D89">
            <v>1009.0791543732772</v>
          </cell>
          <cell r="E89">
            <v>1005.58</v>
          </cell>
          <cell r="F89">
            <v>1140</v>
          </cell>
          <cell r="G89">
            <v>4243.7893803563074</v>
          </cell>
          <cell r="H89">
            <v>1422.72</v>
          </cell>
          <cell r="I89">
            <v>1402.2</v>
          </cell>
          <cell r="J89">
            <v>1538.24</v>
          </cell>
          <cell r="K89">
            <v>1923.24</v>
          </cell>
          <cell r="L89">
            <v>6286.4</v>
          </cell>
          <cell r="M89">
            <v>1664.65</v>
          </cell>
          <cell r="N89">
            <v>1723.8600000000001</v>
          </cell>
          <cell r="O89">
            <v>2226.06</v>
          </cell>
          <cell r="P89">
            <v>2864.14</v>
          </cell>
          <cell r="Q89">
            <v>8478.7099999999991</v>
          </cell>
          <cell r="R89">
            <v>2807.21</v>
          </cell>
          <cell r="S89">
            <v>2836.08</v>
          </cell>
          <cell r="T89">
            <v>2882.31</v>
          </cell>
          <cell r="U89">
            <v>2931.75</v>
          </cell>
          <cell r="V89">
            <v>11457.35</v>
          </cell>
          <cell r="AA89">
            <v>0</v>
          </cell>
          <cell r="AF89">
            <v>0</v>
          </cell>
          <cell r="AK89">
            <v>0</v>
          </cell>
          <cell r="AN89">
            <v>0</v>
          </cell>
          <cell r="AO89">
            <v>0</v>
          </cell>
          <cell r="AT89">
            <v>1</v>
          </cell>
        </row>
        <row r="101">
          <cell r="B101" t="str">
            <v>NAND</v>
          </cell>
          <cell r="C101">
            <v>0</v>
          </cell>
          <cell r="D101">
            <v>5.08</v>
          </cell>
          <cell r="E101">
            <v>4.2</v>
          </cell>
          <cell r="F101">
            <v>5.6240000000000006</v>
          </cell>
          <cell r="G101">
            <v>14.904000000000002</v>
          </cell>
          <cell r="H101">
            <v>7.8624000000000009</v>
          </cell>
          <cell r="I101">
            <v>14.373600000000001</v>
          </cell>
          <cell r="J101">
            <v>22.848866040000001</v>
          </cell>
          <cell r="K101">
            <v>35.150178183119998</v>
          </cell>
          <cell r="L101">
            <v>80.235044223120013</v>
          </cell>
          <cell r="M101">
            <v>28.05</v>
          </cell>
          <cell r="N101">
            <v>29.326000000000004</v>
          </cell>
          <cell r="O101">
            <v>29.7654</v>
          </cell>
          <cell r="P101">
            <v>30.688899999999997</v>
          </cell>
          <cell r="Q101">
            <v>117.83029999999999</v>
          </cell>
          <cell r="R101">
            <v>56.448</v>
          </cell>
          <cell r="S101">
            <v>56.44080000000001</v>
          </cell>
          <cell r="T101">
            <v>52.849600000000002</v>
          </cell>
          <cell r="U101">
            <v>47.606399999999994</v>
          </cell>
          <cell r="V101">
            <v>213.34480000000002</v>
          </cell>
        </row>
        <row r="107">
          <cell r="B107" t="str">
            <v>NAND</v>
          </cell>
          <cell r="C107">
            <v>518.42999999999995</v>
          </cell>
          <cell r="D107">
            <v>500.97299999999996</v>
          </cell>
          <cell r="E107">
            <v>312.03120000000007</v>
          </cell>
          <cell r="F107">
            <v>410.4</v>
          </cell>
          <cell r="G107">
            <v>1741.8341999999998</v>
          </cell>
          <cell r="H107">
            <v>418.59999999999997</v>
          </cell>
          <cell r="I107">
            <v>600.87499999999989</v>
          </cell>
          <cell r="J107">
            <v>611.79999999999995</v>
          </cell>
          <cell r="K107">
            <v>728.64</v>
          </cell>
          <cell r="L107">
            <v>2359.915</v>
          </cell>
          <cell r="M107">
            <v>823.32801000000006</v>
          </cell>
          <cell r="N107">
            <v>754.57803150000007</v>
          </cell>
          <cell r="O107">
            <v>823.54742482500001</v>
          </cell>
          <cell r="P107">
            <v>902.58586895250005</v>
          </cell>
          <cell r="Q107">
            <v>3304.0393352775</v>
          </cell>
          <cell r="R107">
            <v>1312.9783128000001</v>
          </cell>
          <cell r="S107">
            <v>1281.5330338800004</v>
          </cell>
          <cell r="T107">
            <v>1269.4790102940003</v>
          </cell>
          <cell r="U107">
            <v>1351.7600572575002</v>
          </cell>
          <cell r="V107">
            <v>5215.7504142315011</v>
          </cell>
          <cell r="AA107">
            <v>0</v>
          </cell>
          <cell r="AF107">
            <v>0</v>
          </cell>
          <cell r="AK107">
            <v>0</v>
          </cell>
          <cell r="AM107">
            <v>90</v>
          </cell>
          <cell r="AN107">
            <v>1</v>
          </cell>
          <cell r="AO107">
            <v>1</v>
          </cell>
          <cell r="AP107">
            <v>15</v>
          </cell>
          <cell r="AQ107">
            <v>300</v>
          </cell>
          <cell r="AR107">
            <v>0.8</v>
          </cell>
          <cell r="AS107" t="str">
            <v>Qtr</v>
          </cell>
          <cell r="AT107">
            <v>0.33300000000000002</v>
          </cell>
          <cell r="AU107">
            <v>63.672972972972957</v>
          </cell>
        </row>
        <row r="120">
          <cell r="B120" t="str">
            <v>DRAM</v>
          </cell>
          <cell r="C120">
            <v>5.3933593316027393</v>
          </cell>
          <cell r="D120">
            <v>6.6378029944156296</v>
          </cell>
          <cell r="E120">
            <v>5.7011302622309419</v>
          </cell>
          <cell r="F120">
            <v>5.35</v>
          </cell>
          <cell r="H120">
            <v>4.41</v>
          </cell>
          <cell r="I120">
            <v>3.4950000000000001</v>
          </cell>
          <cell r="J120">
            <v>3.875</v>
          </cell>
          <cell r="K120">
            <v>3.12</v>
          </cell>
          <cell r="M120">
            <v>2.8</v>
          </cell>
          <cell r="N120">
            <v>2.65</v>
          </cell>
          <cell r="O120">
            <v>2.83</v>
          </cell>
          <cell r="P120">
            <v>2.6</v>
          </cell>
          <cell r="R120">
            <v>1.96</v>
          </cell>
          <cell r="S120">
            <v>1.91</v>
          </cell>
          <cell r="T120">
            <v>2.04</v>
          </cell>
          <cell r="U120">
            <v>1.87</v>
          </cell>
        </row>
        <row r="121">
          <cell r="B121" t="str">
            <v>NAND</v>
          </cell>
          <cell r="D121">
            <v>3.1749999999999998</v>
          </cell>
          <cell r="E121">
            <v>2.1</v>
          </cell>
          <cell r="F121">
            <v>1.85</v>
          </cell>
          <cell r="H121">
            <v>1.82</v>
          </cell>
          <cell r="I121">
            <v>1.59</v>
          </cell>
          <cell r="J121">
            <v>1.3472208749999999</v>
          </cell>
          <cell r="K121">
            <v>1.3687764089999999</v>
          </cell>
          <cell r="M121">
            <v>0.93500000000000005</v>
          </cell>
          <cell r="N121">
            <v>0.77500000000000002</v>
          </cell>
          <cell r="O121">
            <v>0.66500000000000004</v>
          </cell>
          <cell r="P121">
            <v>0.57499999999999996</v>
          </cell>
          <cell r="R121">
            <v>0.49</v>
          </cell>
          <cell r="S121">
            <v>0.40500000000000003</v>
          </cell>
          <cell r="T121">
            <v>0.33500000000000002</v>
          </cell>
          <cell r="U121">
            <v>0.28499999999999998</v>
          </cell>
        </row>
        <row r="123">
          <cell r="B123" t="str">
            <v>DRAM</v>
          </cell>
          <cell r="C123">
            <v>6.08</v>
          </cell>
          <cell r="D123">
            <v>6.8840000000000003</v>
          </cell>
          <cell r="E123">
            <v>6.18</v>
          </cell>
          <cell r="F123">
            <v>5.9</v>
          </cell>
          <cell r="H123">
            <v>4.68</v>
          </cell>
          <cell r="I123">
            <v>3.68</v>
          </cell>
          <cell r="J123">
            <v>3.5695999999999999</v>
          </cell>
          <cell r="K123">
            <v>3.38</v>
          </cell>
          <cell r="M123">
            <v>3.34</v>
          </cell>
          <cell r="N123">
            <v>3.17</v>
          </cell>
          <cell r="O123">
            <v>3.27</v>
          </cell>
          <cell r="P123">
            <v>3.07</v>
          </cell>
          <cell r="R123">
            <v>2.64</v>
          </cell>
          <cell r="S123">
            <v>2.25</v>
          </cell>
          <cell r="T123">
            <v>2.25</v>
          </cell>
          <cell r="U123">
            <v>2.02</v>
          </cell>
        </row>
        <row r="124">
          <cell r="B124" t="str">
            <v>NAND</v>
          </cell>
          <cell r="C124">
            <v>5.5</v>
          </cell>
          <cell r="D124">
            <v>4.6749999999999998</v>
          </cell>
          <cell r="E124">
            <v>2.74</v>
          </cell>
          <cell r="F124">
            <v>2.2799999999999998</v>
          </cell>
          <cell r="H124">
            <v>2.08</v>
          </cell>
          <cell r="I124">
            <v>1.9</v>
          </cell>
          <cell r="J124">
            <v>1.52</v>
          </cell>
          <cell r="K124">
            <v>1.32</v>
          </cell>
          <cell r="M124">
            <v>0.98499999999999999</v>
          </cell>
          <cell r="N124">
            <v>0.78500000000000003</v>
          </cell>
          <cell r="O124">
            <v>0.745</v>
          </cell>
          <cell r="P124">
            <v>0.71</v>
          </cell>
          <cell r="R124">
            <v>0.59499999999999997</v>
          </cell>
          <cell r="S124">
            <v>0.505</v>
          </cell>
          <cell r="T124">
            <v>0.435</v>
          </cell>
          <cell r="U124">
            <v>0.375</v>
          </cell>
        </row>
        <row r="126">
          <cell r="B126" t="str">
            <v>NAND</v>
          </cell>
          <cell r="C126">
            <v>6.6</v>
          </cell>
          <cell r="D126">
            <v>5.6099999999999994</v>
          </cell>
          <cell r="E126">
            <v>3.2880000000000003</v>
          </cell>
          <cell r="F126">
            <v>2.7359999999999998</v>
          </cell>
          <cell r="H126">
            <v>2.3919999999999999</v>
          </cell>
          <cell r="I126">
            <v>2.1849999999999996</v>
          </cell>
          <cell r="J126">
            <v>1.7479999999999998</v>
          </cell>
          <cell r="K126">
            <v>1.518</v>
          </cell>
          <cell r="M126">
            <v>1.108125</v>
          </cell>
          <cell r="N126">
            <v>0.88312500000000005</v>
          </cell>
          <cell r="O126">
            <v>0.83812500000000001</v>
          </cell>
          <cell r="P126">
            <v>0.79874999999999996</v>
          </cell>
          <cell r="R126">
            <v>0.65449999999999997</v>
          </cell>
          <cell r="S126">
            <v>0.5555000000000001</v>
          </cell>
          <cell r="T126">
            <v>0.47850000000000004</v>
          </cell>
          <cell r="U126">
            <v>0.41250000000000003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X"/>
      <sheetName val="Z"/>
      <sheetName val="Sheet1"/>
    </sheetNames>
    <sheetDataSet>
      <sheetData sheetId="0"/>
      <sheetData sheetId="1">
        <row r="8">
          <cell r="F8">
            <v>22.51</v>
          </cell>
        </row>
        <row r="13">
          <cell r="F13">
            <v>0.35</v>
          </cell>
        </row>
        <row r="17">
          <cell r="G17">
            <v>521.20000000000005</v>
          </cell>
        </row>
        <row r="18">
          <cell r="G18">
            <v>63.9</v>
          </cell>
        </row>
        <row r="19">
          <cell r="G19">
            <v>1091.0999999999999</v>
          </cell>
        </row>
        <row r="20">
          <cell r="G20">
            <v>7260.6999999999989</v>
          </cell>
        </row>
        <row r="21">
          <cell r="G21">
            <v>347.65576600000003</v>
          </cell>
        </row>
        <row r="22">
          <cell r="G22">
            <v>1019.689482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2009 v FY11"/>
      <sheetName val="Summary by area"/>
      <sheetName val="Total IBS"/>
      <sheetName val="Total Americas"/>
      <sheetName val="Total APAC"/>
      <sheetName val="Total Euorpe"/>
      <sheetName val="Total Nordics"/>
      <sheetName val="Total GTO"/>
      <sheetName val="Global Ops"/>
      <sheetName val="Americas Colombia"/>
      <sheetName val="Americas Mexico"/>
      <sheetName val="Americas US"/>
      <sheetName val="APAC Singapore"/>
      <sheetName val="APAC Australia"/>
      <sheetName val="Europe Belgium"/>
      <sheetName val="Europe France"/>
      <sheetName val="Europe Germany"/>
      <sheetName val="Europe Italy"/>
      <sheetName val="Europe NL"/>
      <sheetName val="Europe Poland"/>
      <sheetName val="Europe Portugal"/>
      <sheetName val="Europe CH"/>
      <sheetName val="Europe UK"/>
      <sheetName val="Nordics Denmark"/>
      <sheetName val="Nordics Finland"/>
      <sheetName val="Nordics Norway"/>
      <sheetName val="Nordics Sweden"/>
      <sheetName val="GTO BE"/>
      <sheetName val="GTO FR"/>
      <sheetName val="GTO DE"/>
      <sheetName val="GTO IT"/>
      <sheetName val="GTO NL"/>
      <sheetName val="GTO PT"/>
      <sheetName val="GTO CH"/>
      <sheetName val="GTO UK"/>
      <sheetName val="GTO DK"/>
      <sheetName val="GTO FI"/>
      <sheetName val="GTO NO"/>
      <sheetName val="GTO SE"/>
      <sheetName val="Headcount Database"/>
      <sheetName val="Benefit rat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 t="str">
            <v>SEK</v>
          </cell>
        </row>
        <row r="76">
          <cell r="E76">
            <v>956.65408018868027</v>
          </cell>
        </row>
        <row r="94">
          <cell r="E94">
            <v>603.85</v>
          </cell>
        </row>
        <row r="95">
          <cell r="E95">
            <v>270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>
        <row r="4">
          <cell r="A4" t="str">
            <v>Argentina</v>
          </cell>
        </row>
        <row r="5">
          <cell r="A5" t="str">
            <v>Australia</v>
          </cell>
          <cell r="B5">
            <v>0.22040000000000001</v>
          </cell>
        </row>
        <row r="6">
          <cell r="A6" t="str">
            <v>Austria</v>
          </cell>
        </row>
        <row r="7">
          <cell r="A7" t="str">
            <v>Belgium</v>
          </cell>
          <cell r="B7">
            <v>0.34949999999999998</v>
          </cell>
        </row>
        <row r="8">
          <cell r="A8" t="str">
            <v>Brazil</v>
          </cell>
        </row>
        <row r="9">
          <cell r="A9" t="str">
            <v>Canada</v>
          </cell>
        </row>
        <row r="10">
          <cell r="A10" t="str">
            <v>Chile</v>
          </cell>
        </row>
        <row r="11">
          <cell r="A11" t="str">
            <v>China</v>
          </cell>
        </row>
        <row r="12">
          <cell r="A12" t="str">
            <v>Colombia</v>
          </cell>
          <cell r="B12">
            <v>0.2</v>
          </cell>
        </row>
        <row r="13">
          <cell r="A13" t="str">
            <v>Czech Republic</v>
          </cell>
        </row>
        <row r="14">
          <cell r="A14" t="str">
            <v>Denmark</v>
          </cell>
          <cell r="B14">
            <v>0.23499999999999999</v>
          </cell>
        </row>
        <row r="15">
          <cell r="A15" t="str">
            <v>Finland</v>
          </cell>
          <cell r="B15">
            <v>0.22370000000000001</v>
          </cell>
        </row>
        <row r="16">
          <cell r="A16" t="str">
            <v>France</v>
          </cell>
          <cell r="B16">
            <v>0.54869999999999997</v>
          </cell>
        </row>
        <row r="17">
          <cell r="A17" t="str">
            <v>Germany</v>
          </cell>
          <cell r="B17">
            <v>0.17699999999999999</v>
          </cell>
        </row>
        <row r="18">
          <cell r="A18" t="str">
            <v>Hong Kong</v>
          </cell>
        </row>
        <row r="19">
          <cell r="A19" t="str">
            <v>India</v>
          </cell>
        </row>
        <row r="20">
          <cell r="A20" t="str">
            <v>Ireland</v>
          </cell>
        </row>
        <row r="21">
          <cell r="A21" t="str">
            <v>Italy</v>
          </cell>
          <cell r="B21">
            <v>0.41260000000000002</v>
          </cell>
        </row>
        <row r="22">
          <cell r="A22" t="str">
            <v>Japan</v>
          </cell>
        </row>
        <row r="23">
          <cell r="A23" t="str">
            <v>Korea</v>
          </cell>
        </row>
        <row r="24">
          <cell r="A24" t="str">
            <v>Malaysia</v>
          </cell>
        </row>
        <row r="25">
          <cell r="A25" t="str">
            <v>Mexico</v>
          </cell>
          <cell r="B25">
            <v>0.2</v>
          </cell>
        </row>
        <row r="26">
          <cell r="A26" t="str">
            <v>Netherlands</v>
          </cell>
          <cell r="B26">
            <v>0.20799999999999999</v>
          </cell>
        </row>
        <row r="27">
          <cell r="A27" t="str">
            <v>New Zealand</v>
          </cell>
        </row>
        <row r="28">
          <cell r="A28" t="str">
            <v>Norway</v>
          </cell>
          <cell r="B28">
            <v>0.26</v>
          </cell>
        </row>
        <row r="29">
          <cell r="A29" t="str">
            <v>Poland</v>
          </cell>
          <cell r="B29">
            <v>0.18609999999999999</v>
          </cell>
        </row>
        <row r="30">
          <cell r="A30" t="str">
            <v>Portugal</v>
          </cell>
          <cell r="B30">
            <v>0.18329999999999999</v>
          </cell>
        </row>
        <row r="31">
          <cell r="A31" t="str">
            <v>Singapore</v>
          </cell>
          <cell r="B31">
            <v>0.14000000000000001</v>
          </cell>
        </row>
        <row r="32">
          <cell r="A32" t="str">
            <v>Spain</v>
          </cell>
        </row>
        <row r="33">
          <cell r="A33" t="str">
            <v>Sweden</v>
          </cell>
          <cell r="B33">
            <v>0.5</v>
          </cell>
        </row>
        <row r="34">
          <cell r="A34" t="str">
            <v>Switzerland</v>
          </cell>
          <cell r="B34">
            <v>0.11600000000000001</v>
          </cell>
        </row>
        <row r="35">
          <cell r="A35" t="str">
            <v>Thailand</v>
          </cell>
        </row>
        <row r="36">
          <cell r="A36" t="str">
            <v>UK</v>
          </cell>
          <cell r="B36">
            <v>0.17799999999999999</v>
          </cell>
        </row>
        <row r="37">
          <cell r="A37" t="str">
            <v>United Arab Emirates</v>
          </cell>
        </row>
        <row r="38">
          <cell r="A38" t="str">
            <v>US</v>
          </cell>
          <cell r="B38">
            <v>0.16500000000000001</v>
          </cell>
        </row>
      </sheetData>
      <sheetData sheetId="42">
        <row r="2">
          <cell r="B2" t="str">
            <v>ARS</v>
          </cell>
          <cell r="C2">
            <v>0.32179730000000001</v>
          </cell>
          <cell r="D2">
            <v>0.31171599999999999</v>
          </cell>
          <cell r="E2">
            <v>0</v>
          </cell>
        </row>
        <row r="3">
          <cell r="B3" t="str">
            <v>AUD</v>
          </cell>
          <cell r="C3">
            <v>0.78157710000000002</v>
          </cell>
          <cell r="D3">
            <v>0.90598299999999998</v>
          </cell>
          <cell r="E3">
            <v>6.4</v>
          </cell>
        </row>
        <row r="4">
          <cell r="B4" t="str">
            <v>BHD</v>
          </cell>
          <cell r="C4">
            <v>2.6199319999999999</v>
          </cell>
          <cell r="D4">
            <v>2.6539299999999999</v>
          </cell>
          <cell r="E4">
            <v>0</v>
          </cell>
        </row>
        <row r="5">
          <cell r="B5" t="str">
            <v>BRL</v>
          </cell>
          <cell r="C5">
            <v>0.47639789999999999</v>
          </cell>
          <cell r="D5">
            <v>0.55773700000000004</v>
          </cell>
          <cell r="E5">
            <v>4.0465</v>
          </cell>
        </row>
        <row r="6">
          <cell r="B6" t="str">
            <v>BND</v>
          </cell>
          <cell r="C6">
            <v>0.64270890000000003</v>
          </cell>
          <cell r="D6">
            <v>0.72416499999999995</v>
          </cell>
          <cell r="E6">
            <v>0</v>
          </cell>
        </row>
        <row r="7">
          <cell r="B7" t="str">
            <v>KHR</v>
          </cell>
          <cell r="D7">
            <v>2.52E-4</v>
          </cell>
          <cell r="E7">
            <v>0</v>
          </cell>
        </row>
        <row r="8">
          <cell r="B8" t="str">
            <v>CAD</v>
          </cell>
          <cell r="C8">
            <v>0.85355700000000001</v>
          </cell>
          <cell r="D8">
            <v>1.033774</v>
          </cell>
          <cell r="E8">
            <v>0</v>
          </cell>
        </row>
        <row r="9">
          <cell r="B9" t="str">
            <v>CLP</v>
          </cell>
          <cell r="C9">
            <v>1.8443999999999999E-3</v>
          </cell>
          <cell r="D9">
            <v>2.1480000000000002E-3</v>
          </cell>
          <cell r="E9">
            <v>0</v>
          </cell>
        </row>
        <row r="10">
          <cell r="B10" t="str">
            <v>CNY</v>
          </cell>
          <cell r="C10">
            <v>0.12881409999999999</v>
          </cell>
          <cell r="D10">
            <v>0.14783099999999999</v>
          </cell>
          <cell r="E10">
            <v>1.03</v>
          </cell>
        </row>
        <row r="11">
          <cell r="B11" t="str">
            <v>COP</v>
          </cell>
          <cell r="C11">
            <v>4.3330000000000002E-4</v>
          </cell>
          <cell r="D11">
            <v>5.1999999999999995E-4</v>
          </cell>
          <cell r="E11">
            <v>3.588E-3</v>
          </cell>
        </row>
        <row r="12">
          <cell r="B12" t="str">
            <v>CYP</v>
          </cell>
          <cell r="C12">
            <v>2.2505324</v>
          </cell>
          <cell r="D12">
            <v>2.6901169999999999</v>
          </cell>
          <cell r="E12">
            <v>0</v>
          </cell>
        </row>
        <row r="13">
          <cell r="B13" t="str">
            <v>CZK</v>
          </cell>
          <cell r="C13">
            <v>4.6194300000000001E-2</v>
          </cell>
          <cell r="D13">
            <v>6.2716999999999995E-2</v>
          </cell>
          <cell r="E13">
            <v>0</v>
          </cell>
        </row>
        <row r="14">
          <cell r="B14" t="str">
            <v>DKK</v>
          </cell>
          <cell r="C14">
            <v>0.17526939999999999</v>
          </cell>
          <cell r="D14">
            <v>0.21090600000000001</v>
          </cell>
          <cell r="E14">
            <v>1.3955000000000002</v>
          </cell>
        </row>
        <row r="15">
          <cell r="B15" t="str">
            <v>EGP</v>
          </cell>
          <cell r="C15">
            <v>0.17245379999999999</v>
          </cell>
          <cell r="D15">
            <v>0.18356700000000001</v>
          </cell>
          <cell r="E15">
            <v>0</v>
          </cell>
        </row>
        <row r="16">
          <cell r="B16" t="str">
            <v>EUR</v>
          </cell>
          <cell r="C16">
            <v>1.3063419000000001</v>
          </cell>
          <cell r="D16">
            <v>1.488639</v>
          </cell>
          <cell r="E16">
            <v>10.388500000000001</v>
          </cell>
        </row>
        <row r="17">
          <cell r="B17" t="str">
            <v>HKD</v>
          </cell>
          <cell r="C17">
            <v>0.12801299999999999</v>
          </cell>
          <cell r="D17">
            <v>0.128474</v>
          </cell>
          <cell r="E17">
            <v>0.90500000000000003</v>
          </cell>
        </row>
        <row r="18">
          <cell r="B18" t="str">
            <v>HUF</v>
          </cell>
          <cell r="C18">
            <v>5.1472000000000002E-3</v>
          </cell>
          <cell r="D18">
            <v>1.0869999999999999E-2</v>
          </cell>
          <cell r="E18">
            <v>0</v>
          </cell>
        </row>
        <row r="19">
          <cell r="B19" t="str">
            <v>ISK</v>
          </cell>
          <cell r="C19">
            <v>1.47698E-2</v>
          </cell>
          <cell r="D19">
            <v>1.3184E-2</v>
          </cell>
          <cell r="E19">
            <v>0</v>
          </cell>
        </row>
        <row r="20">
          <cell r="B20" t="str">
            <v>INR</v>
          </cell>
          <cell r="C20">
            <v>2.2662999999999999E-2</v>
          </cell>
          <cell r="D20">
            <v>2.5627E-2</v>
          </cell>
          <cell r="E20">
            <v>0</v>
          </cell>
        </row>
        <row r="21">
          <cell r="B21" t="str">
            <v>IDR</v>
          </cell>
          <cell r="C21">
            <v>1.103E-4</v>
          </cell>
          <cell r="D21">
            <v>1.08E-4</v>
          </cell>
          <cell r="E21">
            <v>0</v>
          </cell>
        </row>
        <row r="22">
          <cell r="B22" t="str">
            <v>ILS</v>
          </cell>
          <cell r="C22">
            <v>0.2367204</v>
          </cell>
          <cell r="D22">
            <v>0.28496899999999997</v>
          </cell>
          <cell r="E22">
            <v>0</v>
          </cell>
        </row>
        <row r="23">
          <cell r="B23" t="str">
            <v>JPY</v>
          </cell>
          <cell r="C23">
            <v>8.2813999999999995E-3</v>
          </cell>
          <cell r="D23">
            <v>9.4520000000000003E-3</v>
          </cell>
          <cell r="E23">
            <v>0</v>
          </cell>
        </row>
        <row r="24">
          <cell r="B24" t="str">
            <v>KWD</v>
          </cell>
          <cell r="C24">
            <v>3.4420446</v>
          </cell>
          <cell r="D24">
            <v>3.7593999999999999</v>
          </cell>
          <cell r="E24">
            <v>0</v>
          </cell>
        </row>
        <row r="25">
          <cell r="B25" t="str">
            <v>LTL</v>
          </cell>
          <cell r="C25">
            <v>0.3783454</v>
          </cell>
          <cell r="D25">
            <v>0.45551900000000001</v>
          </cell>
          <cell r="E25">
            <v>0</v>
          </cell>
        </row>
        <row r="26">
          <cell r="B26" t="str">
            <v>MOP</v>
          </cell>
          <cell r="D26">
            <v>0.12504199999999999</v>
          </cell>
          <cell r="E26">
            <v>0</v>
          </cell>
        </row>
        <row r="27">
          <cell r="B27" t="str">
            <v>MYR</v>
          </cell>
          <cell r="C27">
            <v>0.28504620000000003</v>
          </cell>
          <cell r="D27">
            <v>0.32339099999999998</v>
          </cell>
          <cell r="E27">
            <v>2.0657000000000001</v>
          </cell>
        </row>
        <row r="28">
          <cell r="B28" t="str">
            <v>MTL</v>
          </cell>
          <cell r="C28">
            <v>3.0360863</v>
          </cell>
          <cell r="D28">
            <v>3.6674500000000001</v>
          </cell>
          <cell r="E28">
            <v>0</v>
          </cell>
        </row>
        <row r="29">
          <cell r="B29" t="str">
            <v>MUR</v>
          </cell>
          <cell r="C29">
            <v>3.0057899999999999E-2</v>
          </cell>
          <cell r="D29">
            <v>3.7624999999999999E-2</v>
          </cell>
          <cell r="E29">
            <v>0</v>
          </cell>
        </row>
        <row r="30">
          <cell r="B30" t="str">
            <v>MXN</v>
          </cell>
          <cell r="C30">
            <v>9.0925400000000003E-2</v>
          </cell>
          <cell r="D30">
            <v>9.1127E-2</v>
          </cell>
          <cell r="E30">
            <v>0.54</v>
          </cell>
        </row>
        <row r="31">
          <cell r="B31" t="str">
            <v>MAD</v>
          </cell>
          <cell r="C31">
            <v>0.1165368</v>
          </cell>
          <cell r="D31">
            <v>0.13712299999999999</v>
          </cell>
          <cell r="E31">
            <v>0</v>
          </cell>
        </row>
        <row r="32">
          <cell r="B32" t="str">
            <v>NZD</v>
          </cell>
          <cell r="C32">
            <v>0.69216639999999996</v>
          </cell>
          <cell r="D32">
            <v>0.76839599999999997</v>
          </cell>
          <cell r="E32">
            <v>0</v>
          </cell>
        </row>
        <row r="33">
          <cell r="B33" t="str">
            <v>NOK</v>
          </cell>
          <cell r="C33">
            <v>0.1614054</v>
          </cell>
          <cell r="D33">
            <v>0.192941</v>
          </cell>
          <cell r="E33">
            <v>1.2384999999999999</v>
          </cell>
        </row>
        <row r="34">
          <cell r="B34" t="str">
            <v>PHP</v>
          </cell>
          <cell r="C34">
            <v>2.06047E-2</v>
          </cell>
          <cell r="D34">
            <v>2.5328E-2</v>
          </cell>
          <cell r="E34">
            <v>0</v>
          </cell>
        </row>
        <row r="35">
          <cell r="B35" t="str">
            <v>PLN</v>
          </cell>
          <cell r="C35">
            <v>0.33496949999999998</v>
          </cell>
          <cell r="D35">
            <v>0.42252299999999998</v>
          </cell>
          <cell r="E35">
            <v>2.4500000000000002</v>
          </cell>
        </row>
        <row r="36">
          <cell r="B36" t="str">
            <v>RUB</v>
          </cell>
          <cell r="C36">
            <v>3.7975200000000001E-2</v>
          </cell>
          <cell r="D36">
            <v>4.1320000000000003E-2</v>
          </cell>
          <cell r="E36">
            <v>0</v>
          </cell>
        </row>
        <row r="37">
          <cell r="B37" t="str">
            <v>SAR</v>
          </cell>
          <cell r="C37">
            <v>0.13918659999999999</v>
          </cell>
          <cell r="D37">
            <v>0.26702700000000001</v>
          </cell>
          <cell r="E37">
            <v>0</v>
          </cell>
        </row>
        <row r="38">
          <cell r="B38" t="str">
            <v>CSD</v>
          </cell>
          <cell r="C38">
            <v>1.5927199999999999E-2</v>
          </cell>
          <cell r="D38">
            <v>1.8834E-2</v>
          </cell>
          <cell r="E38">
            <v>0</v>
          </cell>
        </row>
        <row r="39">
          <cell r="B39" t="str">
            <v>SGD</v>
          </cell>
          <cell r="C39">
            <v>0.65192539999999999</v>
          </cell>
          <cell r="D39">
            <v>0.73652899999999999</v>
          </cell>
          <cell r="E39">
            <v>5.0149999999999997</v>
          </cell>
        </row>
        <row r="40">
          <cell r="B40" t="str">
            <v>SKK</v>
          </cell>
          <cell r="C40">
            <v>3.7768500000000003E-2</v>
          </cell>
          <cell r="D40">
            <v>4.8579999999999998E-2</v>
          </cell>
          <cell r="E40">
            <v>0</v>
          </cell>
        </row>
        <row r="41">
          <cell r="B41" t="str">
            <v>ZAR</v>
          </cell>
          <cell r="C41">
            <v>0.13918659999999999</v>
          </cell>
          <cell r="D41">
            <v>0.131382</v>
          </cell>
          <cell r="E41">
            <v>0</v>
          </cell>
        </row>
        <row r="42">
          <cell r="B42" t="str">
            <v>KRW</v>
          </cell>
          <cell r="C42">
            <v>1.0497E-3</v>
          </cell>
          <cell r="D42">
            <v>1.047E-3</v>
          </cell>
          <cell r="E42">
            <v>0</v>
          </cell>
        </row>
        <row r="43">
          <cell r="B43" t="str">
            <v>LKR</v>
          </cell>
          <cell r="C43">
            <v>9.1479999999999999E-3</v>
          </cell>
          <cell r="D43">
            <v>9.2899999999999996E-3</v>
          </cell>
          <cell r="E43">
            <v>0</v>
          </cell>
        </row>
        <row r="44">
          <cell r="B44" t="str">
            <v>SEK</v>
          </cell>
          <cell r="C44">
            <v>0.14232339999999999</v>
          </cell>
          <cell r="D44">
            <v>0.16203999999999999</v>
          </cell>
          <cell r="E44">
            <v>1</v>
          </cell>
        </row>
        <row r="45">
          <cell r="B45" t="str">
            <v>CHF</v>
          </cell>
          <cell r="C45">
            <v>0.8055213</v>
          </cell>
          <cell r="D45">
            <v>0.94813099999999995</v>
          </cell>
          <cell r="E45">
            <v>6.8789999999999996</v>
          </cell>
        </row>
        <row r="46">
          <cell r="B46" t="str">
            <v>TWD</v>
          </cell>
          <cell r="C46">
            <v>3.0266899999999999E-2</v>
          </cell>
          <cell r="D46">
            <v>1.6941000000000001E-2</v>
          </cell>
          <cell r="E46">
            <v>0</v>
          </cell>
        </row>
        <row r="47">
          <cell r="B47" t="str">
            <v>THB</v>
          </cell>
          <cell r="C47">
            <v>2.92117E-2</v>
          </cell>
          <cell r="D47">
            <v>3.2550000000000003E-2</v>
          </cell>
          <cell r="E47">
            <v>0</v>
          </cell>
        </row>
        <row r="48">
          <cell r="B48" t="str">
            <v>TRL</v>
          </cell>
          <cell r="C48">
            <v>0.71255780000000002</v>
          </cell>
          <cell r="D48">
            <v>0.79217599999999999</v>
          </cell>
          <cell r="E48">
            <v>0</v>
          </cell>
        </row>
        <row r="49">
          <cell r="B49" t="str">
            <v>GBP</v>
          </cell>
          <cell r="C49">
            <v>1.9576313999999999</v>
          </cell>
          <cell r="D49">
            <v>1.935935</v>
          </cell>
          <cell r="E49">
            <v>11.59</v>
          </cell>
        </row>
        <row r="50">
          <cell r="B50" t="str">
            <v>UAH</v>
          </cell>
          <cell r="D50">
            <v>0.199322</v>
          </cell>
          <cell r="E50">
            <v>0</v>
          </cell>
        </row>
        <row r="51">
          <cell r="B51" t="str">
            <v>AED</v>
          </cell>
          <cell r="C51">
            <v>0.2722078</v>
          </cell>
          <cell r="D51">
            <v>0.272316</v>
          </cell>
          <cell r="E51">
            <v>0</v>
          </cell>
        </row>
        <row r="52">
          <cell r="B52" t="str">
            <v>UYU</v>
          </cell>
          <cell r="C52">
            <v>3.9497200000000003E-2</v>
          </cell>
          <cell r="D52">
            <v>4.8308999999999998E-2</v>
          </cell>
          <cell r="E52">
            <v>0</v>
          </cell>
        </row>
        <row r="53">
          <cell r="B53" t="str">
            <v>USD</v>
          </cell>
          <cell r="C53">
            <v>1</v>
          </cell>
          <cell r="D53">
            <v>1</v>
          </cell>
          <cell r="E53">
            <v>7.0149999999999997</v>
          </cell>
        </row>
        <row r="54">
          <cell r="B54" t="str">
            <v>VEB</v>
          </cell>
          <cell r="C54">
            <v>4.6529999999999998E-4</v>
          </cell>
          <cell r="D54">
            <v>0.28799999999999998</v>
          </cell>
          <cell r="E54">
            <v>0</v>
          </cell>
        </row>
        <row r="55">
          <cell r="B55" t="str">
            <v>XOF</v>
          </cell>
          <cell r="C55">
            <v>1.9915000000000002E-3</v>
          </cell>
          <cell r="D55">
            <v>2.3990000000000001E-3</v>
          </cell>
          <cell r="E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te"/>
      <sheetName val="Werte2"/>
      <sheetName val="P &amp; L Optims"/>
      <sheetName val="Erklärung"/>
    </sheetNames>
    <sheetDataSet>
      <sheetData sheetId="0">
        <row r="3">
          <cell r="AL3" t="str">
            <v>30.06.2010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EEF3-AFD3-4330-B59A-63BBA306D8D9}">
  <sheetPr>
    <tabColor rgb="FF00B050"/>
  </sheetPr>
  <dimension ref="B7:K40"/>
  <sheetViews>
    <sheetView showGridLines="0" tabSelected="1" view="pageBreakPreview" zoomScaleNormal="100" zoomScaleSheetLayoutView="100" workbookViewId="0"/>
  </sheetViews>
  <sheetFormatPr defaultColWidth="9" defaultRowHeight="15"/>
  <cols>
    <col min="1" max="3" width="9" style="46"/>
    <col min="4" max="4" width="19.7109375" style="46" bestFit="1" customWidth="1"/>
    <col min="5" max="5" width="45.7109375" style="46" customWidth="1"/>
    <col min="6" max="16384" width="9" style="46"/>
  </cols>
  <sheetData>
    <row r="7" spans="3:11">
      <c r="C7" s="81"/>
      <c r="D7" s="82"/>
      <c r="E7" s="82"/>
      <c r="F7" s="82"/>
      <c r="G7" s="82"/>
      <c r="H7" s="82"/>
      <c r="I7" s="82"/>
      <c r="J7" s="82"/>
      <c r="K7" s="83"/>
    </row>
    <row r="8" spans="3:11">
      <c r="C8" s="84"/>
      <c r="D8" s="85"/>
      <c r="E8" s="85"/>
      <c r="F8" s="85"/>
      <c r="G8" s="85"/>
      <c r="H8" s="85"/>
      <c r="I8" s="85"/>
      <c r="J8" s="85"/>
      <c r="K8" s="86"/>
    </row>
    <row r="9" spans="3:11">
      <c r="C9" s="84"/>
      <c r="D9" s="85"/>
      <c r="E9" s="85"/>
      <c r="F9" s="85"/>
      <c r="G9" s="85"/>
      <c r="H9" s="85"/>
      <c r="I9" s="85"/>
      <c r="J9" s="85"/>
      <c r="K9" s="86"/>
    </row>
    <row r="10" spans="3:11" ht="26.25">
      <c r="C10" s="84"/>
      <c r="D10" s="284" t="s">
        <v>106</v>
      </c>
      <c r="E10" s="87"/>
      <c r="F10" s="87"/>
      <c r="G10" s="87"/>
      <c r="H10" s="87"/>
      <c r="I10" s="85"/>
      <c r="J10" s="85"/>
      <c r="K10" s="86"/>
    </row>
    <row r="11" spans="3:11" ht="18.75">
      <c r="C11" s="84"/>
      <c r="D11" s="285" t="s">
        <v>107</v>
      </c>
      <c r="E11" s="286" t="s">
        <v>108</v>
      </c>
      <c r="F11" s="87"/>
      <c r="G11" s="87"/>
      <c r="H11" s="87"/>
      <c r="I11" s="85"/>
      <c r="J11" s="85"/>
      <c r="K11" s="86"/>
    </row>
    <row r="12" spans="3:11" ht="18.75">
      <c r="C12" s="84"/>
      <c r="D12" s="285" t="s">
        <v>308</v>
      </c>
      <c r="E12" s="287">
        <f ca="1">TODAY()</f>
        <v>44027</v>
      </c>
      <c r="F12" s="87"/>
      <c r="G12" s="87"/>
      <c r="H12" s="87"/>
      <c r="I12" s="85"/>
      <c r="J12" s="85"/>
      <c r="K12" s="86"/>
    </row>
    <row r="13" spans="3:11">
      <c r="C13" s="84"/>
      <c r="D13" s="85"/>
      <c r="E13" s="85"/>
      <c r="F13" s="85"/>
      <c r="G13" s="85"/>
      <c r="H13" s="85"/>
      <c r="I13" s="85"/>
      <c r="J13" s="85"/>
      <c r="K13" s="86"/>
    </row>
    <row r="14" spans="3:11">
      <c r="C14" s="84"/>
      <c r="D14" s="85"/>
      <c r="E14" s="85"/>
      <c r="F14" s="85"/>
      <c r="G14" s="85"/>
      <c r="H14" s="85"/>
      <c r="I14" s="85"/>
      <c r="J14" s="85"/>
      <c r="K14" s="86"/>
    </row>
    <row r="15" spans="3:11">
      <c r="C15" s="88"/>
      <c r="D15" s="47"/>
      <c r="E15" s="47"/>
      <c r="F15" s="47"/>
      <c r="G15" s="47"/>
      <c r="H15" s="47"/>
      <c r="I15" s="47"/>
      <c r="J15" s="47"/>
      <c r="K15" s="89"/>
    </row>
    <row r="19" spans="3:9">
      <c r="C19" s="48" t="s">
        <v>100</v>
      </c>
      <c r="D19" s="47"/>
      <c r="E19" s="47"/>
      <c r="G19" s="48" t="s">
        <v>393</v>
      </c>
      <c r="H19" s="47"/>
      <c r="I19" s="47"/>
    </row>
    <row r="20" spans="3:9">
      <c r="C20" s="179" t="s">
        <v>96</v>
      </c>
    </row>
    <row r="21" spans="3:9">
      <c r="C21" s="181" t="s">
        <v>97</v>
      </c>
      <c r="G21" s="608"/>
      <c r="H21" s="46" t="s">
        <v>385</v>
      </c>
    </row>
    <row r="22" spans="3:9">
      <c r="C22" s="180" t="s">
        <v>98</v>
      </c>
      <c r="G22" s="609"/>
      <c r="H22" s="46" t="s">
        <v>386</v>
      </c>
    </row>
    <row r="23" spans="3:9">
      <c r="C23" s="555" t="s">
        <v>102</v>
      </c>
    </row>
    <row r="25" spans="3:9">
      <c r="C25" s="48" t="s">
        <v>99</v>
      </c>
      <c r="D25" s="47"/>
      <c r="E25" s="47"/>
    </row>
    <row r="27" spans="3:9">
      <c r="C27" s="556"/>
      <c r="D27" s="46" t="s">
        <v>101</v>
      </c>
    </row>
    <row r="28" spans="3:9">
      <c r="C28" s="182"/>
      <c r="D28" s="46" t="s">
        <v>104</v>
      </c>
    </row>
    <row r="29" spans="3:9">
      <c r="C29" s="208"/>
      <c r="D29" s="46" t="s">
        <v>103</v>
      </c>
    </row>
    <row r="30" spans="3:9">
      <c r="C30" s="209"/>
      <c r="D30" s="46" t="s">
        <v>105</v>
      </c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547E-6285-4E81-B689-77D1BD0D04A5}">
  <sheetPr>
    <tabColor rgb="FF00B050"/>
  </sheetPr>
  <dimension ref="A1:U53"/>
  <sheetViews>
    <sheetView topLeftCell="A1048545" workbookViewId="0">
      <selection activeCell="C1048576" sqref="C1048576"/>
    </sheetView>
  </sheetViews>
  <sheetFormatPr defaultRowHeight="15"/>
  <cols>
    <col min="2" max="2" width="39.5703125" bestFit="1" customWidth="1"/>
    <col min="3" max="5" width="16.85546875" bestFit="1" customWidth="1"/>
    <col min="7" max="9" width="16.85546875" bestFit="1" customWidth="1"/>
    <col min="11" max="13" width="16.85546875" bestFit="1" customWidth="1"/>
  </cols>
  <sheetData>
    <row r="1" spans="1:21" ht="20.100000000000001" customHeight="1">
      <c r="A1" s="600" t="str">
        <f>'Cover Page'!D10</f>
        <v>Steward Holdings (US) Inc., A Public Benefit Corporation</v>
      </c>
    </row>
    <row r="2" spans="1:21">
      <c r="A2" s="1" t="s">
        <v>370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>
      <c r="B4" s="338" t="s">
        <v>389</v>
      </c>
      <c r="C4" s="610">
        <v>43861</v>
      </c>
    </row>
    <row r="5" spans="1:21">
      <c r="B5" s="338" t="s">
        <v>400</v>
      </c>
      <c r="C5" s="644">
        <f>'Existing Loans + Loan Pipeline'!C28</f>
        <v>44012</v>
      </c>
    </row>
    <row r="6" spans="1:21">
      <c r="B6" s="338" t="s">
        <v>401</v>
      </c>
      <c r="C6" s="610">
        <v>44104</v>
      </c>
    </row>
    <row r="7" spans="1:21">
      <c r="B7" s="338" t="s">
        <v>374</v>
      </c>
      <c r="C7" s="603">
        <v>1</v>
      </c>
    </row>
    <row r="8" spans="1:21">
      <c r="B8" s="604" t="s">
        <v>375</v>
      </c>
    </row>
    <row r="9" spans="1:21">
      <c r="B9" s="604" t="s">
        <v>376</v>
      </c>
    </row>
    <row r="10" spans="1:21">
      <c r="G10" s="340" t="s">
        <v>405</v>
      </c>
      <c r="H10" s="2"/>
      <c r="I10" s="2"/>
      <c r="K10" s="340" t="s">
        <v>406</v>
      </c>
      <c r="L10" s="2"/>
      <c r="M10" s="2"/>
    </row>
    <row r="11" spans="1:21">
      <c r="B11" s="619" t="s">
        <v>170</v>
      </c>
      <c r="C11" s="605">
        <v>43831</v>
      </c>
      <c r="D11" s="605">
        <v>44197</v>
      </c>
      <c r="E11" s="605">
        <v>44562</v>
      </c>
    </row>
    <row r="13" spans="1:21">
      <c r="B13" s="338" t="s">
        <v>383</v>
      </c>
      <c r="C13" s="668">
        <f>CHOOSE($C$7,G13,K13)</f>
        <v>1200</v>
      </c>
      <c r="D13" s="668">
        <f t="shared" ref="D13:E13" si="0">CHOOSE($C$7,H13,L13)</f>
        <v>3000</v>
      </c>
      <c r="E13" s="668">
        <f t="shared" si="0"/>
        <v>6000</v>
      </c>
      <c r="G13" s="337">
        <v>1200</v>
      </c>
      <c r="H13" s="337">
        <v>3000</v>
      </c>
      <c r="I13" s="337">
        <v>6000</v>
      </c>
      <c r="K13" s="337">
        <v>2000</v>
      </c>
      <c r="L13" s="337">
        <v>8000</v>
      </c>
      <c r="M13" s="337">
        <v>15000</v>
      </c>
    </row>
    <row r="14" spans="1:21">
      <c r="B14" s="338" t="s">
        <v>371</v>
      </c>
      <c r="C14" s="667">
        <v>2.59887005649718E-5</v>
      </c>
      <c r="D14" s="649">
        <f>C14</f>
        <v>2.59887005649718E-5</v>
      </c>
      <c r="E14" s="649">
        <f>D14</f>
        <v>2.59887005649718E-5</v>
      </c>
    </row>
    <row r="15" spans="1:21">
      <c r="B15" s="46"/>
      <c r="C15" s="46"/>
      <c r="D15" s="46"/>
      <c r="E15" s="46"/>
    </row>
    <row r="16" spans="1:21">
      <c r="B16" s="618" t="s">
        <v>394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7"/>
    </row>
    <row r="17" spans="2:13">
      <c r="B17" s="46"/>
      <c r="C17" s="46"/>
      <c r="D17" s="46"/>
      <c r="E17" s="46"/>
    </row>
    <row r="18" spans="2:13">
      <c r="B18" s="133" t="s">
        <v>373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2:13">
      <c r="B19" s="620" t="s">
        <v>170</v>
      </c>
      <c r="C19" s="621">
        <f>C$11</f>
        <v>43831</v>
      </c>
      <c r="D19" s="621">
        <f>D$11</f>
        <v>44197</v>
      </c>
      <c r="E19" s="621">
        <f>E$11</f>
        <v>44562</v>
      </c>
    </row>
    <row r="20" spans="2:13">
      <c r="B20" s="338" t="s">
        <v>159</v>
      </c>
      <c r="C20" s="603">
        <v>5</v>
      </c>
      <c r="D20" s="647">
        <f>C20</f>
        <v>5</v>
      </c>
      <c r="E20" s="647">
        <f>D20</f>
        <v>5</v>
      </c>
    </row>
    <row r="21" spans="2:13">
      <c r="B21" s="338" t="s">
        <v>377</v>
      </c>
      <c r="C21" s="669">
        <f>CHOOSE($C$7,G21,K21)</f>
        <v>100000</v>
      </c>
      <c r="D21" s="669">
        <f t="shared" ref="D21:E21" si="1">CHOOSE($C$7,H21,L21)</f>
        <v>200000</v>
      </c>
      <c r="E21" s="669">
        <f t="shared" si="1"/>
        <v>300000</v>
      </c>
      <c r="G21" s="509">
        <v>100000</v>
      </c>
      <c r="H21" s="509">
        <v>200000</v>
      </c>
      <c r="I21" s="509">
        <v>300000</v>
      </c>
      <c r="K21" s="509">
        <v>150000</v>
      </c>
      <c r="L21" s="509">
        <v>300000</v>
      </c>
      <c r="M21" s="509">
        <v>500000</v>
      </c>
    </row>
    <row r="22" spans="2:13">
      <c r="B22" s="338" t="s">
        <v>378</v>
      </c>
      <c r="C22" s="670">
        <f>CHOOSE($C$7,G22,K22)</f>
        <v>0.03</v>
      </c>
      <c r="D22" s="670">
        <f t="shared" ref="D22" si="2">CHOOSE($C$7,H22,L22)</f>
        <v>0.05</v>
      </c>
      <c r="E22" s="670">
        <f t="shared" ref="E22" si="3">CHOOSE($C$7,I22,M22)</f>
        <v>7.0000000000000007E-2</v>
      </c>
      <c r="G22" s="339">
        <v>0.03</v>
      </c>
      <c r="H22" s="339">
        <v>0.05</v>
      </c>
      <c r="I22" s="339">
        <v>7.0000000000000007E-2</v>
      </c>
      <c r="K22" s="339">
        <v>0.02</v>
      </c>
      <c r="L22" s="339">
        <v>0.04</v>
      </c>
      <c r="M22" s="339">
        <v>0.06</v>
      </c>
    </row>
    <row r="23" spans="2:13">
      <c r="B23" s="338" t="s">
        <v>381</v>
      </c>
      <c r="C23" s="339">
        <v>0.01</v>
      </c>
      <c r="D23" s="654">
        <f t="shared" ref="D23:E25" si="4">C23</f>
        <v>0.01</v>
      </c>
      <c r="E23" s="654">
        <f t="shared" si="4"/>
        <v>0.01</v>
      </c>
    </row>
    <row r="24" spans="2:13">
      <c r="B24" s="338" t="s">
        <v>380</v>
      </c>
      <c r="C24" s="339">
        <v>0.03</v>
      </c>
      <c r="D24" s="654">
        <f t="shared" si="4"/>
        <v>0.03</v>
      </c>
      <c r="E24" s="654">
        <f t="shared" si="4"/>
        <v>0.03</v>
      </c>
    </row>
    <row r="25" spans="2:13">
      <c r="B25" s="338" t="s">
        <v>382</v>
      </c>
      <c r="C25" s="509">
        <v>4000</v>
      </c>
      <c r="D25" s="349">
        <f t="shared" si="4"/>
        <v>4000</v>
      </c>
      <c r="E25" s="349">
        <f t="shared" si="4"/>
        <v>4000</v>
      </c>
    </row>
    <row r="26" spans="2:13">
      <c r="B26" s="338" t="s">
        <v>402</v>
      </c>
      <c r="C26" s="661">
        <v>0.5</v>
      </c>
    </row>
    <row r="28" spans="2:13">
      <c r="B28" s="133" t="s">
        <v>372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2:13">
      <c r="B29" s="620" t="s">
        <v>170</v>
      </c>
      <c r="C29" s="621">
        <f>C$11</f>
        <v>43831</v>
      </c>
      <c r="D29" s="621">
        <f>D$11</f>
        <v>44197</v>
      </c>
      <c r="E29" s="621">
        <f>E$11</f>
        <v>44562</v>
      </c>
    </row>
    <row r="30" spans="2:13">
      <c r="B30" s="606" t="s">
        <v>368</v>
      </c>
      <c r="C30" s="670">
        <f>CHOOSE($C$7,G30,K30)</f>
        <v>0.8</v>
      </c>
      <c r="D30" s="670">
        <f t="shared" ref="D30" si="5">CHOOSE($C$7,H30,L30)</f>
        <v>1</v>
      </c>
      <c r="E30" s="670">
        <f t="shared" ref="E30" si="6">CHOOSE($C$7,I30,M30)</f>
        <v>1.5</v>
      </c>
      <c r="G30" s="362">
        <v>0.8</v>
      </c>
      <c r="H30" s="362">
        <v>1</v>
      </c>
      <c r="I30" s="362">
        <v>1.5</v>
      </c>
      <c r="K30" s="362">
        <v>0.8</v>
      </c>
      <c r="L30" s="362">
        <v>1</v>
      </c>
      <c r="M30" s="362">
        <v>1.5</v>
      </c>
    </row>
    <row r="31" spans="2:13">
      <c r="B31" s="606" t="s">
        <v>379</v>
      </c>
      <c r="C31" s="658">
        <f>C30*C22</f>
        <v>2.4E-2</v>
      </c>
      <c r="D31" s="658">
        <f t="shared" ref="D31:E31" si="7">D30*D22</f>
        <v>0.05</v>
      </c>
      <c r="E31" s="658">
        <f t="shared" si="7"/>
        <v>0.10500000000000001</v>
      </c>
    </row>
    <row r="32" spans="2:13">
      <c r="B32" s="606" t="s">
        <v>173</v>
      </c>
      <c r="C32" s="669">
        <f>CHOOSE($C$7,G32,K32)</f>
        <v>99</v>
      </c>
      <c r="D32" s="669">
        <f t="shared" ref="D32" si="8">CHOOSE($C$7,H32,L32)</f>
        <v>149</v>
      </c>
      <c r="E32" s="669">
        <f t="shared" ref="E32" si="9">CHOOSE($C$7,I32,M32)</f>
        <v>199</v>
      </c>
      <c r="G32" s="352">
        <v>99</v>
      </c>
      <c r="H32" s="352">
        <v>149</v>
      </c>
      <c r="I32" s="352">
        <v>199</v>
      </c>
      <c r="K32" s="352">
        <v>99</v>
      </c>
      <c r="L32" s="352">
        <v>199</v>
      </c>
      <c r="M32" s="352">
        <v>249</v>
      </c>
    </row>
    <row r="33" spans="2:13">
      <c r="B33" s="607" t="s">
        <v>183</v>
      </c>
      <c r="C33" s="601">
        <v>0.15</v>
      </c>
      <c r="D33" s="602">
        <f t="shared" ref="D33:E33" si="10">C33-0.02</f>
        <v>0.13</v>
      </c>
      <c r="E33" s="602">
        <f t="shared" si="10"/>
        <v>0.11</v>
      </c>
    </row>
    <row r="35" spans="2:13">
      <c r="B35" s="618" t="s">
        <v>395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617"/>
    </row>
    <row r="36" spans="2:13">
      <c r="B36" s="620" t="s">
        <v>170</v>
      </c>
      <c r="C36" s="621">
        <f>C$11</f>
        <v>43831</v>
      </c>
      <c r="D36" s="621">
        <f>D$11</f>
        <v>44197</v>
      </c>
      <c r="E36" s="621">
        <f>E$11</f>
        <v>44562</v>
      </c>
      <c r="G36" s="671" t="s">
        <v>60</v>
      </c>
    </row>
    <row r="37" spans="2:13">
      <c r="B37" s="607" t="s">
        <v>396</v>
      </c>
      <c r="C37" s="339">
        <v>0.17</v>
      </c>
      <c r="D37" s="339">
        <v>0.17</v>
      </c>
      <c r="E37" s="339">
        <v>0.17</v>
      </c>
    </row>
    <row r="38" spans="2:13">
      <c r="B38" s="607" t="s">
        <v>387</v>
      </c>
      <c r="C38" s="615">
        <f>'Historical CAC to LTV Analysis'!$Q$9</f>
        <v>14.966380916397164</v>
      </c>
      <c r="D38" s="623">
        <f>C38*(1+$G38)</f>
        <v>15.714699962217022</v>
      </c>
      <c r="E38" s="623">
        <f>D38*(1+$G38)</f>
        <v>16.500434960327873</v>
      </c>
      <c r="G38" s="339">
        <v>0.05</v>
      </c>
    </row>
    <row r="39" spans="2:13">
      <c r="B39" s="607" t="s">
        <v>392</v>
      </c>
      <c r="C39" s="614">
        <v>50</v>
      </c>
      <c r="D39" s="623">
        <f>C39*(1+$G39)</f>
        <v>52.5</v>
      </c>
      <c r="E39" s="623">
        <f>D39*(1+$G39)</f>
        <v>55.125</v>
      </c>
      <c r="G39" s="339">
        <v>0.05</v>
      </c>
    </row>
    <row r="41" spans="2:13">
      <c r="B41" s="625" t="s">
        <v>397</v>
      </c>
      <c r="C41" s="626"/>
      <c r="D41" s="626"/>
      <c r="E41" s="626"/>
    </row>
    <row r="42" spans="2:13">
      <c r="B42" s="638" t="s">
        <v>399</v>
      </c>
      <c r="C42" s="626"/>
      <c r="D42" s="637"/>
      <c r="E42" s="637"/>
    </row>
    <row r="43" spans="2:13">
      <c r="B43" s="607" t="s">
        <v>62</v>
      </c>
      <c r="C43" s="624">
        <v>-2500</v>
      </c>
      <c r="D43" s="639">
        <f>C43*(1+$G43)</f>
        <v>-2575</v>
      </c>
      <c r="E43" s="640">
        <f>D43*(1+$G43)</f>
        <v>-2652.25</v>
      </c>
      <c r="G43" s="339">
        <v>0.03</v>
      </c>
    </row>
    <row r="44" spans="2:13">
      <c r="B44" s="607" t="s">
        <v>71</v>
      </c>
      <c r="C44" s="622">
        <v>-2000</v>
      </c>
      <c r="D44" s="639">
        <f t="shared" ref="D44:E44" si="11">C44*(1+$G44)</f>
        <v>-2060</v>
      </c>
      <c r="E44" s="640">
        <f t="shared" si="11"/>
        <v>-2121.8000000000002</v>
      </c>
      <c r="G44" s="339">
        <v>0.03</v>
      </c>
    </row>
    <row r="45" spans="2:13">
      <c r="B45" s="607" t="s">
        <v>72</v>
      </c>
      <c r="C45" s="622">
        <v>-6000</v>
      </c>
      <c r="D45" s="639">
        <f t="shared" ref="D45:E45" si="12">C45*(1+$G45)</f>
        <v>-6180</v>
      </c>
      <c r="E45" s="640">
        <f t="shared" si="12"/>
        <v>-6365.4000000000005</v>
      </c>
      <c r="G45" s="339">
        <v>0.03</v>
      </c>
    </row>
    <row r="46" spans="2:13">
      <c r="B46" s="607" t="s">
        <v>215</v>
      </c>
      <c r="C46" s="622">
        <v>-4000</v>
      </c>
      <c r="D46" s="639">
        <f t="shared" ref="D46:E46" si="13">C46*(1+$G46)</f>
        <v>-4120</v>
      </c>
      <c r="E46" s="640">
        <f t="shared" si="13"/>
        <v>-4243.6000000000004</v>
      </c>
      <c r="G46" s="339">
        <v>0.03</v>
      </c>
    </row>
    <row r="47" spans="2:13">
      <c r="B47" s="607" t="s">
        <v>216</v>
      </c>
      <c r="C47" s="622">
        <v>-1500</v>
      </c>
      <c r="D47" s="639">
        <f t="shared" ref="D47:E47" si="14">C47*(1+$G47)</f>
        <v>-1545</v>
      </c>
      <c r="E47" s="640">
        <f t="shared" si="14"/>
        <v>-1591.3500000000001</v>
      </c>
      <c r="G47" s="339">
        <v>0.03</v>
      </c>
    </row>
    <row r="48" spans="2:13">
      <c r="B48" s="607" t="s">
        <v>249</v>
      </c>
      <c r="C48" s="622">
        <v>-1000</v>
      </c>
      <c r="D48" s="639">
        <f t="shared" ref="D48:E48" si="15">C48*(1+$G48)</f>
        <v>-1030</v>
      </c>
      <c r="E48" s="640">
        <f t="shared" si="15"/>
        <v>-1060.9000000000001</v>
      </c>
      <c r="G48" s="339">
        <v>0.03</v>
      </c>
    </row>
    <row r="49" spans="2:7">
      <c r="B49" s="607" t="s">
        <v>0</v>
      </c>
      <c r="C49" s="622">
        <v>-5000</v>
      </c>
      <c r="D49" s="639">
        <f t="shared" ref="D49:E49" si="16">C49*(1+$G49)</f>
        <v>-5150</v>
      </c>
      <c r="E49" s="640">
        <f t="shared" si="16"/>
        <v>-5304.5</v>
      </c>
      <c r="G49" s="339">
        <v>0.03</v>
      </c>
    </row>
    <row r="50" spans="2:7">
      <c r="B50" s="607" t="s">
        <v>213</v>
      </c>
      <c r="C50" s="622">
        <v>-3000</v>
      </c>
      <c r="D50" s="639">
        <f t="shared" ref="D50:E50" si="17">C50*(1+$G50)</f>
        <v>-3090</v>
      </c>
      <c r="E50" s="640">
        <f t="shared" si="17"/>
        <v>-3182.7000000000003</v>
      </c>
      <c r="G50" s="339">
        <v>0.03</v>
      </c>
    </row>
    <row r="51" spans="2:7">
      <c r="B51" s="607" t="s">
        <v>63</v>
      </c>
      <c r="C51" s="622">
        <v>-1000</v>
      </c>
      <c r="D51" s="639">
        <f t="shared" ref="D51:E51" si="18">C51*(1+$G51)</f>
        <v>-1030</v>
      </c>
      <c r="E51" s="640">
        <f t="shared" si="18"/>
        <v>-1060.9000000000001</v>
      </c>
      <c r="G51" s="339">
        <v>0.03</v>
      </c>
    </row>
    <row r="52" spans="2:7">
      <c r="B52" s="607" t="s">
        <v>403</v>
      </c>
      <c r="C52" s="601">
        <v>0.05</v>
      </c>
    </row>
    <row r="53" spans="2:7">
      <c r="B53" s="663" t="s">
        <v>404</v>
      </c>
      <c r="C53" s="601">
        <v>0.05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0180-81DC-4828-8B55-81271FA41EE6}">
  <sheetPr>
    <tabColor rgb="FF00B050"/>
  </sheetPr>
  <dimension ref="A1:L91"/>
  <sheetViews>
    <sheetView showGridLines="0" view="pageBreakPreview" zoomScale="90" zoomScaleNormal="70" zoomScaleSheetLayoutView="90" zoomScalePageLayoutView="150" workbookViewId="0"/>
  </sheetViews>
  <sheetFormatPr defaultColWidth="11.7109375" defaultRowHeight="15.75" outlineLevelRow="1"/>
  <cols>
    <col min="1" max="1" width="3.85546875" style="92" bestFit="1" customWidth="1"/>
    <col min="2" max="2" width="58.28515625" style="92" bestFit="1" customWidth="1"/>
    <col min="3" max="3" width="22.28515625" style="94" bestFit="1" customWidth="1"/>
    <col min="4" max="4" width="22.28515625" style="92" bestFit="1" customWidth="1"/>
    <col min="5" max="5" width="18.7109375" style="92" bestFit="1" customWidth="1"/>
    <col min="6" max="6" width="23" style="92" bestFit="1" customWidth="1"/>
    <col min="7" max="7" width="5.7109375" style="92" customWidth="1"/>
    <col min="8" max="8" width="5.7109375" style="46" customWidth="1"/>
    <col min="9" max="9" width="2.42578125" style="46" customWidth="1"/>
    <col min="10" max="10" width="11.7109375" style="46"/>
    <col min="11" max="16384" width="11.7109375" style="92"/>
  </cols>
  <sheetData>
    <row r="1" spans="1:11" ht="27.75">
      <c r="B1" s="80" t="str">
        <f>'Revenue Build'!B1</f>
        <v>Steward Holdings (US) Inc., A Public Benefit Corporation</v>
      </c>
      <c r="C1" s="90"/>
      <c r="D1" s="91"/>
      <c r="E1" s="91"/>
      <c r="F1" s="91"/>
      <c r="G1" s="91"/>
    </row>
    <row r="2" spans="1:11" ht="18" customHeight="1">
      <c r="B2" s="102" t="s">
        <v>156</v>
      </c>
      <c r="C2" s="93"/>
      <c r="G2" s="166"/>
    </row>
    <row r="3" spans="1:11" ht="16.350000000000001" customHeight="1">
      <c r="B3" s="102"/>
      <c r="C3"/>
      <c r="D3"/>
      <c r="E3"/>
      <c r="F3"/>
      <c r="G3"/>
    </row>
    <row r="4" spans="1:11" ht="16.350000000000001" customHeight="1">
      <c r="B4" s="4"/>
      <c r="C4"/>
      <c r="D4"/>
      <c r="E4"/>
      <c r="F4"/>
      <c r="G4"/>
    </row>
    <row r="5" spans="1:11" ht="16.350000000000001" customHeight="1">
      <c r="B5" s="4"/>
      <c r="C5" s="93"/>
      <c r="F5"/>
      <c r="G5"/>
    </row>
    <row r="6" spans="1:11" ht="15.75" customHeight="1">
      <c r="D6" s="94"/>
      <c r="E6"/>
      <c r="F6"/>
      <c r="G6"/>
    </row>
    <row r="7" spans="1:11" ht="18.75">
      <c r="A7" s="167" t="s">
        <v>45</v>
      </c>
      <c r="B7" s="298" t="s">
        <v>44</v>
      </c>
      <c r="C7" s="299" t="s">
        <v>388</v>
      </c>
      <c r="D7" s="299" t="s">
        <v>133</v>
      </c>
      <c r="E7" s="299" t="s">
        <v>115</v>
      </c>
      <c r="F7" s="299" t="s">
        <v>134</v>
      </c>
      <c r="G7"/>
      <c r="J7"/>
      <c r="K7"/>
    </row>
    <row r="8" spans="1:11">
      <c r="A8" s="288"/>
      <c r="B8" s="301" t="s">
        <v>116</v>
      </c>
      <c r="C8" s="302"/>
      <c r="D8" s="302"/>
      <c r="E8" s="302"/>
      <c r="F8" s="302"/>
      <c r="G8"/>
      <c r="J8"/>
      <c r="K8"/>
    </row>
    <row r="9" spans="1:11">
      <c r="A9" s="92">
        <v>1</v>
      </c>
      <c r="B9" s="283" t="s">
        <v>117</v>
      </c>
      <c r="C9" s="293">
        <v>42906</v>
      </c>
      <c r="D9" s="283" t="s">
        <v>136</v>
      </c>
      <c r="E9" s="507">
        <v>85944</v>
      </c>
      <c r="F9" s="300">
        <v>0.1</v>
      </c>
      <c r="G9"/>
      <c r="H9" s="95"/>
      <c r="J9"/>
      <c r="K9"/>
    </row>
    <row r="10" spans="1:11">
      <c r="A10" s="92">
        <f>A9+1</f>
        <v>2</v>
      </c>
      <c r="B10" s="283" t="s">
        <v>118</v>
      </c>
      <c r="C10" s="293">
        <v>42970</v>
      </c>
      <c r="D10" s="283" t="s">
        <v>136</v>
      </c>
      <c r="E10" s="290">
        <v>130356</v>
      </c>
      <c r="F10" s="292">
        <v>9.5000000000000001E-2</v>
      </c>
      <c r="G10"/>
      <c r="H10" s="96"/>
      <c r="J10"/>
      <c r="K10"/>
    </row>
    <row r="11" spans="1:11">
      <c r="A11" s="92">
        <f t="shared" ref="A11:A42" si="0">A10+1</f>
        <v>3</v>
      </c>
      <c r="B11" s="283" t="s">
        <v>119</v>
      </c>
      <c r="C11" s="293">
        <v>43266</v>
      </c>
      <c r="D11" s="283" t="s">
        <v>137</v>
      </c>
      <c r="E11" s="290">
        <v>575701</v>
      </c>
      <c r="F11" s="292">
        <v>0.08</v>
      </c>
      <c r="G11"/>
      <c r="J11"/>
      <c r="K11"/>
    </row>
    <row r="12" spans="1:11">
      <c r="A12" s="92">
        <f t="shared" si="0"/>
        <v>4</v>
      </c>
      <c r="B12" s="283" t="s">
        <v>120</v>
      </c>
      <c r="C12" s="293">
        <v>43293</v>
      </c>
      <c r="D12" s="283" t="s">
        <v>138</v>
      </c>
      <c r="E12" s="290">
        <v>642473</v>
      </c>
      <c r="F12" s="292">
        <v>9.5000000000000001E-2</v>
      </c>
      <c r="G12"/>
      <c r="J12"/>
      <c r="K12"/>
    </row>
    <row r="13" spans="1:11">
      <c r="A13" s="92">
        <f t="shared" si="0"/>
        <v>5</v>
      </c>
      <c r="B13" s="283" t="s">
        <v>121</v>
      </c>
      <c r="C13" s="293">
        <v>43311</v>
      </c>
      <c r="D13" s="283" t="s">
        <v>139</v>
      </c>
      <c r="E13" s="290">
        <v>164165</v>
      </c>
      <c r="F13" s="292">
        <v>0.14000000000000001</v>
      </c>
      <c r="G13"/>
      <c r="J13"/>
      <c r="K13"/>
    </row>
    <row r="14" spans="1:11">
      <c r="A14" s="92">
        <f t="shared" si="0"/>
        <v>6</v>
      </c>
      <c r="B14" s="283" t="s">
        <v>122</v>
      </c>
      <c r="C14" s="293">
        <v>43335</v>
      </c>
      <c r="D14" s="283" t="s">
        <v>140</v>
      </c>
      <c r="E14" s="290">
        <v>265536</v>
      </c>
      <c r="F14" s="292">
        <v>0.08</v>
      </c>
      <c r="G14"/>
      <c r="J14"/>
      <c r="K14"/>
    </row>
    <row r="15" spans="1:11">
      <c r="A15" s="92">
        <f t="shared" si="0"/>
        <v>7</v>
      </c>
      <c r="B15" s="283" t="s">
        <v>123</v>
      </c>
      <c r="C15" s="293">
        <v>43392</v>
      </c>
      <c r="D15" s="283" t="s">
        <v>141</v>
      </c>
      <c r="E15" s="290">
        <v>58927</v>
      </c>
      <c r="F15" s="292">
        <v>0.09</v>
      </c>
      <c r="G15"/>
      <c r="J15"/>
      <c r="K15"/>
    </row>
    <row r="16" spans="1:11">
      <c r="A16" s="92">
        <f t="shared" si="0"/>
        <v>8</v>
      </c>
      <c r="B16" s="283" t="s">
        <v>124</v>
      </c>
      <c r="C16" s="293">
        <v>43438</v>
      </c>
      <c r="D16" s="283" t="s">
        <v>142</v>
      </c>
      <c r="E16" s="290">
        <v>397239</v>
      </c>
      <c r="F16" s="292">
        <v>0.12</v>
      </c>
      <c r="G16"/>
      <c r="J16"/>
      <c r="K16"/>
    </row>
    <row r="17" spans="1:11">
      <c r="A17" s="92">
        <f t="shared" si="0"/>
        <v>9</v>
      </c>
      <c r="B17" s="283" t="s">
        <v>125</v>
      </c>
      <c r="C17" s="293">
        <v>43521</v>
      </c>
      <c r="D17" s="283" t="s">
        <v>369</v>
      </c>
      <c r="E17" s="290">
        <v>100000</v>
      </c>
      <c r="F17" s="292">
        <v>0.1</v>
      </c>
      <c r="G17"/>
      <c r="J17"/>
      <c r="K17"/>
    </row>
    <row r="18" spans="1:11">
      <c r="A18" s="92">
        <f t="shared" si="0"/>
        <v>10</v>
      </c>
      <c r="B18" s="283" t="s">
        <v>126</v>
      </c>
      <c r="C18" s="293">
        <v>43525</v>
      </c>
      <c r="D18" s="283" t="s">
        <v>143</v>
      </c>
      <c r="E18" s="290">
        <v>147769</v>
      </c>
      <c r="F18" s="292">
        <v>0.1</v>
      </c>
      <c r="G18"/>
      <c r="J18"/>
      <c r="K18"/>
    </row>
    <row r="19" spans="1:11">
      <c r="A19" s="92">
        <f t="shared" si="0"/>
        <v>11</v>
      </c>
      <c r="B19" s="283" t="s">
        <v>127</v>
      </c>
      <c r="C19" s="293">
        <v>43536</v>
      </c>
      <c r="D19" s="283" t="s">
        <v>144</v>
      </c>
      <c r="E19" s="290">
        <v>27126</v>
      </c>
      <c r="F19" s="292">
        <v>0.1</v>
      </c>
      <c r="G19"/>
      <c r="J19"/>
      <c r="K19"/>
    </row>
    <row r="20" spans="1:11">
      <c r="A20" s="92">
        <f t="shared" si="0"/>
        <v>12</v>
      </c>
      <c r="B20" s="283" t="s">
        <v>128</v>
      </c>
      <c r="C20" s="293">
        <v>43537</v>
      </c>
      <c r="D20" s="283" t="s">
        <v>145</v>
      </c>
      <c r="E20" s="290">
        <v>10988</v>
      </c>
      <c r="F20" s="292">
        <v>0.1</v>
      </c>
      <c r="G20"/>
      <c r="J20"/>
      <c r="K20"/>
    </row>
    <row r="21" spans="1:11">
      <c r="A21" s="92">
        <f t="shared" si="0"/>
        <v>13</v>
      </c>
      <c r="B21" s="283" t="s">
        <v>129</v>
      </c>
      <c r="C21" s="293">
        <v>43537</v>
      </c>
      <c r="D21" s="283" t="s">
        <v>146</v>
      </c>
      <c r="E21" s="290">
        <v>32874</v>
      </c>
      <c r="F21" s="292">
        <v>0.1</v>
      </c>
      <c r="G21"/>
      <c r="J21"/>
      <c r="K21"/>
    </row>
    <row r="22" spans="1:11">
      <c r="A22" s="92">
        <f t="shared" si="0"/>
        <v>14</v>
      </c>
      <c r="B22" s="283" t="s">
        <v>130</v>
      </c>
      <c r="C22" s="293">
        <v>43544</v>
      </c>
      <c r="D22" s="283" t="s">
        <v>147</v>
      </c>
      <c r="E22" s="290">
        <v>21717</v>
      </c>
      <c r="F22" s="292">
        <v>9.5000000000000001E-2</v>
      </c>
      <c r="G22"/>
      <c r="J22"/>
      <c r="K22"/>
    </row>
    <row r="23" spans="1:11">
      <c r="A23" s="92">
        <f t="shared" si="0"/>
        <v>15</v>
      </c>
      <c r="B23" s="283" t="s">
        <v>131</v>
      </c>
      <c r="C23" s="293">
        <v>43571</v>
      </c>
      <c r="D23" s="283" t="s">
        <v>148</v>
      </c>
      <c r="E23" s="290">
        <v>5526</v>
      </c>
      <c r="F23" s="292">
        <v>0.1</v>
      </c>
      <c r="G23"/>
      <c r="J23"/>
      <c r="K23"/>
    </row>
    <row r="24" spans="1:11">
      <c r="A24" s="92">
        <f t="shared" si="0"/>
        <v>16</v>
      </c>
      <c r="B24" s="283" t="s">
        <v>132</v>
      </c>
      <c r="C24" s="293">
        <v>43656</v>
      </c>
      <c r="D24" s="283" t="s">
        <v>149</v>
      </c>
      <c r="E24" s="290">
        <v>0</v>
      </c>
      <c r="F24" s="292">
        <v>0.08</v>
      </c>
      <c r="G24"/>
      <c r="J24"/>
      <c r="K24"/>
    </row>
    <row r="25" spans="1:11">
      <c r="B25" s="97" t="s">
        <v>135</v>
      </c>
      <c r="C25" s="97"/>
      <c r="D25" s="97"/>
      <c r="E25" s="98">
        <f>SUM(E9:E24)</f>
        <v>2666341</v>
      </c>
      <c r="F25" s="98"/>
      <c r="G25"/>
      <c r="J25"/>
      <c r="K25"/>
    </row>
    <row r="26" spans="1:11">
      <c r="B26" s="296" t="s">
        <v>259</v>
      </c>
      <c r="C26" s="297"/>
      <c r="D26" s="297"/>
      <c r="E26" s="297"/>
      <c r="F26" s="297"/>
      <c r="G26"/>
      <c r="J26"/>
      <c r="K26"/>
    </row>
    <row r="27" spans="1:11">
      <c r="A27" s="92">
        <v>1</v>
      </c>
      <c r="B27" s="283" t="str">
        <f>B9</f>
        <v>ACRE Detroit</v>
      </c>
      <c r="C27" s="313">
        <v>43921</v>
      </c>
      <c r="D27" s="92" t="str">
        <f>D9</f>
        <v>Detroit, MI</v>
      </c>
      <c r="E27" s="507">
        <v>0</v>
      </c>
      <c r="F27" s="295">
        <f t="shared" ref="F27:F42" si="1">F9</f>
        <v>0.1</v>
      </c>
      <c r="G27"/>
      <c r="J27"/>
      <c r="K27"/>
    </row>
    <row r="28" spans="1:11">
      <c r="A28" s="92">
        <f t="shared" si="0"/>
        <v>2</v>
      </c>
      <c r="B28" s="283" t="str">
        <f t="shared" ref="B28:B42" si="2">B10</f>
        <v>Fisheye Farms</v>
      </c>
      <c r="C28" s="313">
        <v>44012</v>
      </c>
      <c r="D28" s="92" t="str">
        <f t="shared" ref="D28:D42" si="3">D10</f>
        <v>Detroit, MI</v>
      </c>
      <c r="E28" s="290">
        <v>300000</v>
      </c>
      <c r="F28" s="291">
        <f t="shared" si="1"/>
        <v>9.5000000000000001E-2</v>
      </c>
      <c r="G28"/>
      <c r="J28"/>
      <c r="K28"/>
    </row>
    <row r="29" spans="1:11">
      <c r="A29" s="92">
        <f t="shared" si="0"/>
        <v>3</v>
      </c>
      <c r="B29" s="283" t="str">
        <f t="shared" si="2"/>
        <v>Beiler’s Heritage Acres</v>
      </c>
      <c r="C29" s="313">
        <v>44043</v>
      </c>
      <c r="D29" s="92" t="str">
        <f t="shared" si="3"/>
        <v>Kinzers, PA</v>
      </c>
      <c r="E29" s="290">
        <v>500000</v>
      </c>
      <c r="F29" s="291">
        <f t="shared" si="1"/>
        <v>0.08</v>
      </c>
      <c r="G29"/>
      <c r="J29"/>
      <c r="K29"/>
    </row>
    <row r="30" spans="1:11">
      <c r="A30" s="92">
        <f t="shared" si="0"/>
        <v>4</v>
      </c>
      <c r="B30" s="283" t="str">
        <f t="shared" si="2"/>
        <v>Eastfork Cultivars / Hope Mountain</v>
      </c>
      <c r="C30" s="313">
        <v>44043</v>
      </c>
      <c r="D30" s="92" t="str">
        <f t="shared" si="3"/>
        <v>Takilma, OR</v>
      </c>
      <c r="E30" s="290">
        <v>1000000</v>
      </c>
      <c r="F30" s="291">
        <f t="shared" si="1"/>
        <v>9.5000000000000001E-2</v>
      </c>
      <c r="G30"/>
      <c r="J30"/>
      <c r="K30"/>
    </row>
    <row r="31" spans="1:11">
      <c r="A31" s="92">
        <f t="shared" si="0"/>
        <v>5</v>
      </c>
      <c r="B31" s="283" t="str">
        <f t="shared" si="2"/>
        <v>Domaine Julien Guillon</v>
      </c>
      <c r="C31" s="319">
        <v>44074</v>
      </c>
      <c r="D31" s="92" t="str">
        <f t="shared" si="3"/>
        <v>Valais, Switzerland</v>
      </c>
      <c r="E31" s="290">
        <v>500000</v>
      </c>
      <c r="F31" s="291">
        <f t="shared" si="1"/>
        <v>0.14000000000000001</v>
      </c>
      <c r="G31"/>
      <c r="J31"/>
      <c r="K31"/>
    </row>
    <row r="32" spans="1:11">
      <c r="A32" s="92">
        <f t="shared" si="0"/>
        <v>6</v>
      </c>
      <c r="B32" s="283" t="str">
        <f t="shared" si="2"/>
        <v xml:space="preserve">Iverstine Family Farm </v>
      </c>
      <c r="C32" s="319">
        <v>44074</v>
      </c>
      <c r="D32" s="92" t="str">
        <f t="shared" si="3"/>
        <v>Kentwood, LA</v>
      </c>
      <c r="E32" s="290">
        <v>750000</v>
      </c>
      <c r="F32" s="291">
        <f t="shared" si="1"/>
        <v>0.08</v>
      </c>
      <c r="G32"/>
      <c r="J32"/>
      <c r="K32"/>
    </row>
    <row r="33" spans="1:12">
      <c r="A33" s="92">
        <f t="shared" si="0"/>
        <v>7</v>
      </c>
      <c r="B33" s="283" t="str">
        <f t="shared" si="2"/>
        <v xml:space="preserve">Dusty Roads Farm </v>
      </c>
      <c r="C33" s="319">
        <v>44074</v>
      </c>
      <c r="D33" s="92" t="str">
        <f t="shared" si="3"/>
        <v>Franklinton, LA</v>
      </c>
      <c r="E33" s="290">
        <v>100000</v>
      </c>
      <c r="F33" s="291">
        <f t="shared" si="1"/>
        <v>0.09</v>
      </c>
      <c r="G33"/>
      <c r="J33"/>
      <c r="K33"/>
    </row>
    <row r="34" spans="1:12">
      <c r="A34" s="92">
        <f t="shared" si="0"/>
        <v>8</v>
      </c>
      <c r="B34" s="283" t="str">
        <f t="shared" si="2"/>
        <v>ShangriLa Farms / Stewardship Sustainable Farm</v>
      </c>
      <c r="C34" s="319">
        <v>44104</v>
      </c>
      <c r="D34" s="92" t="str">
        <f t="shared" si="3"/>
        <v>Seaside, OR</v>
      </c>
      <c r="E34" s="290">
        <v>2000000</v>
      </c>
      <c r="F34" s="291">
        <f t="shared" si="1"/>
        <v>0.12</v>
      </c>
      <c r="G34"/>
      <c r="J34"/>
      <c r="K34"/>
    </row>
    <row r="35" spans="1:12">
      <c r="A35" s="92">
        <f t="shared" si="0"/>
        <v>9</v>
      </c>
      <c r="B35" s="283" t="str">
        <f t="shared" si="2"/>
        <v>Naked Acres</v>
      </c>
      <c r="C35" s="319">
        <v>44104</v>
      </c>
      <c r="D35" s="92" t="str">
        <f t="shared" si="3"/>
        <v>Beaverton, OR</v>
      </c>
      <c r="E35" s="290">
        <v>500000</v>
      </c>
      <c r="F35" s="291">
        <f t="shared" si="1"/>
        <v>0.1</v>
      </c>
      <c r="G35"/>
      <c r="J35"/>
      <c r="K35"/>
    </row>
    <row r="36" spans="1:12">
      <c r="A36" s="92">
        <f t="shared" si="0"/>
        <v>10</v>
      </c>
      <c r="B36" s="283" t="str">
        <f t="shared" si="2"/>
        <v>Fleischer Family Farm</v>
      </c>
      <c r="C36" s="319">
        <v>44104</v>
      </c>
      <c r="D36" s="92" t="str">
        <f t="shared" si="3"/>
        <v>Lakewood, CO</v>
      </c>
      <c r="E36" s="290">
        <v>200000</v>
      </c>
      <c r="F36" s="291">
        <f t="shared" si="1"/>
        <v>0.1</v>
      </c>
      <c r="G36"/>
      <c r="J36"/>
      <c r="K36"/>
    </row>
    <row r="37" spans="1:12">
      <c r="A37" s="92">
        <f t="shared" si="0"/>
        <v>11</v>
      </c>
      <c r="B37" s="283" t="str">
        <f t="shared" si="2"/>
        <v>Tru Livin' Farms</v>
      </c>
      <c r="C37" s="319">
        <v>44135</v>
      </c>
      <c r="D37" s="92" t="str">
        <f t="shared" si="3"/>
        <v>Norman, OK</v>
      </c>
      <c r="E37" s="290">
        <v>200000</v>
      </c>
      <c r="F37" s="291">
        <f t="shared" si="1"/>
        <v>0.1</v>
      </c>
      <c r="G37"/>
      <c r="J37"/>
      <c r="K37"/>
    </row>
    <row r="38" spans="1:12">
      <c r="A38" s="92">
        <f t="shared" si="0"/>
        <v>12</v>
      </c>
      <c r="B38" s="283" t="str">
        <f t="shared" si="2"/>
        <v>Red Rooster Farms</v>
      </c>
      <c r="C38" s="319">
        <v>44135</v>
      </c>
      <c r="D38" s="92" t="str">
        <f t="shared" si="3"/>
        <v>Booneville, AR</v>
      </c>
      <c r="E38" s="290">
        <v>50000</v>
      </c>
      <c r="F38" s="291">
        <f t="shared" si="1"/>
        <v>0.1</v>
      </c>
      <c r="G38"/>
      <c r="J38"/>
      <c r="K38"/>
    </row>
    <row r="39" spans="1:12">
      <c r="A39" s="92">
        <f t="shared" si="0"/>
        <v>13</v>
      </c>
      <c r="B39" s="283" t="str">
        <f t="shared" si="2"/>
        <v>Avrom Farms</v>
      </c>
      <c r="C39" s="319">
        <v>44135</v>
      </c>
      <c r="D39" s="92" t="str">
        <f t="shared" si="3"/>
        <v>Ripon, WI</v>
      </c>
      <c r="E39" s="290">
        <v>250000</v>
      </c>
      <c r="F39" s="291">
        <f t="shared" si="1"/>
        <v>0.1</v>
      </c>
      <c r="G39"/>
      <c r="J39"/>
      <c r="K39"/>
    </row>
    <row r="40" spans="1:12">
      <c r="A40" s="92">
        <f t="shared" si="0"/>
        <v>14</v>
      </c>
      <c r="B40" s="283" t="str">
        <f t="shared" si="2"/>
        <v>Clear Creek Family Farm</v>
      </c>
      <c r="C40" s="319">
        <v>44165</v>
      </c>
      <c r="D40" s="92" t="str">
        <f t="shared" si="3"/>
        <v>Clarkson, NE</v>
      </c>
      <c r="E40" s="290">
        <v>200000</v>
      </c>
      <c r="F40" s="320">
        <f t="shared" si="1"/>
        <v>9.5000000000000001E-2</v>
      </c>
      <c r="G40"/>
      <c r="J40"/>
      <c r="K40"/>
    </row>
    <row r="41" spans="1:12">
      <c r="A41" s="92">
        <f t="shared" si="0"/>
        <v>15</v>
      </c>
      <c r="B41" s="283" t="str">
        <f t="shared" si="2"/>
        <v>Kubed Root</v>
      </c>
      <c r="C41" s="319">
        <v>44165</v>
      </c>
      <c r="D41" s="92" t="str">
        <f t="shared" si="3"/>
        <v>Buffalo, NY</v>
      </c>
      <c r="E41" s="290">
        <v>50000</v>
      </c>
      <c r="F41" s="506">
        <f t="shared" si="1"/>
        <v>0.1</v>
      </c>
      <c r="G41"/>
      <c r="J41"/>
      <c r="K41"/>
    </row>
    <row r="42" spans="1:12">
      <c r="A42" s="92">
        <f t="shared" si="0"/>
        <v>16</v>
      </c>
      <c r="B42" s="283" t="str">
        <f t="shared" si="2"/>
        <v>Sierra Valley Farm</v>
      </c>
      <c r="C42" s="319">
        <v>44196</v>
      </c>
      <c r="D42" s="92" t="str">
        <f t="shared" si="3"/>
        <v>Beckwourth, CA</v>
      </c>
      <c r="E42" s="290">
        <v>0</v>
      </c>
      <c r="F42" s="506">
        <f t="shared" si="1"/>
        <v>0.08</v>
      </c>
      <c r="G42"/>
      <c r="J42"/>
      <c r="K42"/>
    </row>
    <row r="43" spans="1:12" s="100" customFormat="1">
      <c r="B43" s="97" t="s">
        <v>135</v>
      </c>
      <c r="C43" s="97"/>
      <c r="D43" s="97"/>
      <c r="E43" s="98">
        <f>SUM(E27:E42)</f>
        <v>6600000</v>
      </c>
      <c r="F43" s="98"/>
      <c r="G43"/>
      <c r="H43" s="46"/>
      <c r="I43" s="46"/>
      <c r="J43" s="46"/>
      <c r="K43" s="99"/>
      <c r="L43" s="99"/>
    </row>
    <row r="44" spans="1:12">
      <c r="B44" s="296" t="s">
        <v>290</v>
      </c>
      <c r="C44" s="297"/>
      <c r="D44" s="297"/>
      <c r="E44" s="297"/>
      <c r="F44" s="297"/>
      <c r="G44"/>
      <c r="J44"/>
      <c r="K44"/>
    </row>
    <row r="45" spans="1:12">
      <c r="A45" s="92">
        <v>1</v>
      </c>
      <c r="B45" s="283" t="s">
        <v>152</v>
      </c>
      <c r="C45" s="313">
        <v>44043</v>
      </c>
      <c r="D45" s="92" t="s">
        <v>287</v>
      </c>
      <c r="E45" s="294">
        <v>1000000</v>
      </c>
      <c r="F45" s="295">
        <f t="shared" ref="F45:F69" si="4">AVERAGE($F$9:$F$24)</f>
        <v>9.8437500000000011E-2</v>
      </c>
      <c r="G45"/>
      <c r="J45"/>
      <c r="K45"/>
    </row>
    <row r="46" spans="1:12">
      <c r="A46" s="92">
        <f t="shared" ref="A46:A69" si="5">A45+1</f>
        <v>2</v>
      </c>
      <c r="B46" s="283" t="s">
        <v>153</v>
      </c>
      <c r="C46" s="313">
        <v>44104</v>
      </c>
      <c r="D46" s="92" t="s">
        <v>284</v>
      </c>
      <c r="E46" s="290">
        <v>1000000</v>
      </c>
      <c r="F46" s="291">
        <f t="shared" si="4"/>
        <v>9.8437500000000011E-2</v>
      </c>
      <c r="G46"/>
      <c r="J46"/>
      <c r="K46"/>
    </row>
    <row r="47" spans="1:12">
      <c r="A47" s="92">
        <f t="shared" si="5"/>
        <v>3</v>
      </c>
      <c r="B47" s="283" t="s">
        <v>154</v>
      </c>
      <c r="C47" s="313">
        <v>44135</v>
      </c>
      <c r="D47" s="92" t="s">
        <v>285</v>
      </c>
      <c r="E47" s="290">
        <v>1000000</v>
      </c>
      <c r="F47" s="291">
        <f t="shared" si="4"/>
        <v>9.8437500000000011E-2</v>
      </c>
      <c r="G47"/>
      <c r="J47"/>
      <c r="K47"/>
    </row>
    <row r="48" spans="1:12">
      <c r="A48" s="92">
        <f t="shared" si="5"/>
        <v>4</v>
      </c>
      <c r="B48" s="283" t="s">
        <v>155</v>
      </c>
      <c r="C48" s="319">
        <v>44165</v>
      </c>
      <c r="D48" s="92" t="s">
        <v>286</v>
      </c>
      <c r="E48" s="290">
        <v>500000</v>
      </c>
      <c r="F48" s="291">
        <f t="shared" si="4"/>
        <v>9.8437500000000011E-2</v>
      </c>
      <c r="G48"/>
      <c r="J48"/>
      <c r="K48"/>
    </row>
    <row r="49" spans="1:12">
      <c r="B49" s="97" t="s">
        <v>135</v>
      </c>
      <c r="C49" s="97"/>
      <c r="D49" s="97"/>
      <c r="E49" s="98">
        <f>SUM(E45:E48)</f>
        <v>3500000</v>
      </c>
      <c r="F49" s="98"/>
      <c r="G49"/>
      <c r="J49"/>
      <c r="K49"/>
    </row>
    <row r="50" spans="1:12" ht="18.75">
      <c r="B50" s="296" t="s">
        <v>292</v>
      </c>
      <c r="C50" s="297"/>
      <c r="D50" s="297"/>
      <c r="E50" s="297"/>
      <c r="F50" s="297"/>
      <c r="G50"/>
      <c r="J50"/>
      <c r="K50"/>
    </row>
    <row r="51" spans="1:12">
      <c r="A51" s="92">
        <f>A48+1</f>
        <v>5</v>
      </c>
      <c r="B51" s="283" t="s">
        <v>289</v>
      </c>
      <c r="C51" s="319">
        <v>43890</v>
      </c>
      <c r="D51" s="515">
        <v>129</v>
      </c>
      <c r="E51" s="516">
        <f>3957249200*0.015</f>
        <v>59358738</v>
      </c>
      <c r="F51" s="291">
        <f>AVERAGE($F$9:$F$24)</f>
        <v>9.8437500000000011E-2</v>
      </c>
      <c r="G51"/>
    </row>
    <row r="52" spans="1:12">
      <c r="A52" s="92">
        <f t="shared" si="5"/>
        <v>6</v>
      </c>
      <c r="B52" s="283" t="s">
        <v>283</v>
      </c>
      <c r="C52" s="319">
        <v>43890</v>
      </c>
      <c r="D52" s="515">
        <f>75+19</f>
        <v>94</v>
      </c>
      <c r="E52" s="516">
        <f>8387950+4691270</f>
        <v>13079220</v>
      </c>
      <c r="F52" s="291">
        <f>AVERAGE($F$9:$F$24)</f>
        <v>9.8437500000000011E-2</v>
      </c>
      <c r="G52"/>
    </row>
    <row r="53" spans="1:12">
      <c r="A53" s="92">
        <f t="shared" si="5"/>
        <v>7</v>
      </c>
      <c r="B53" s="283" t="s">
        <v>288</v>
      </c>
      <c r="C53" s="319">
        <v>43890</v>
      </c>
      <c r="D53" s="515">
        <v>12</v>
      </c>
      <c r="E53" s="516">
        <f>1815000</f>
        <v>1815000</v>
      </c>
      <c r="F53" s="291">
        <f t="shared" si="4"/>
        <v>9.8437500000000011E-2</v>
      </c>
      <c r="G53"/>
    </row>
    <row r="54" spans="1:12" hidden="1" outlineLevel="1">
      <c r="A54" s="92">
        <f t="shared" si="5"/>
        <v>8</v>
      </c>
      <c r="B54" s="576" t="s">
        <v>315</v>
      </c>
      <c r="D54"/>
      <c r="E54" s="290">
        <v>0</v>
      </c>
      <c r="F54" s="291">
        <f t="shared" si="4"/>
        <v>9.8437500000000011E-2</v>
      </c>
      <c r="G54"/>
    </row>
    <row r="55" spans="1:12" hidden="1" outlineLevel="1">
      <c r="A55" s="92">
        <f t="shared" si="5"/>
        <v>9</v>
      </c>
      <c r="B55" s="576" t="s">
        <v>315</v>
      </c>
      <c r="D55" s="94"/>
      <c r="E55" s="290">
        <v>0</v>
      </c>
      <c r="F55" s="291">
        <f>AVERAGE($F$9:$F$24)</f>
        <v>9.8437500000000011E-2</v>
      </c>
      <c r="G55"/>
    </row>
    <row r="56" spans="1:12" hidden="1" outlineLevel="1">
      <c r="A56" s="92">
        <f t="shared" si="5"/>
        <v>10</v>
      </c>
      <c r="B56" s="576" t="s">
        <v>315</v>
      </c>
      <c r="D56" s="94"/>
      <c r="E56" s="290">
        <v>0</v>
      </c>
      <c r="F56" s="291">
        <f>AVERAGE($F$9:$F$24)</f>
        <v>9.8437500000000011E-2</v>
      </c>
      <c r="G56"/>
      <c r="L56" s="92">
        <f>129+75+12+2+5+3+2+16+19+7+37</f>
        <v>307</v>
      </c>
    </row>
    <row r="57" spans="1:12" hidden="1" outlineLevel="1">
      <c r="A57" s="92">
        <f t="shared" si="5"/>
        <v>11</v>
      </c>
      <c r="B57" s="576" t="s">
        <v>315</v>
      </c>
      <c r="D57" s="94"/>
      <c r="E57" s="290">
        <v>0</v>
      </c>
      <c r="F57" s="291">
        <f t="shared" si="4"/>
        <v>9.8437500000000011E-2</v>
      </c>
      <c r="G57"/>
    </row>
    <row r="58" spans="1:12" hidden="1" outlineLevel="1">
      <c r="A58" s="92">
        <f t="shared" si="5"/>
        <v>12</v>
      </c>
      <c r="B58" s="576" t="s">
        <v>315</v>
      </c>
      <c r="D58" s="94"/>
      <c r="E58" s="290">
        <v>0</v>
      </c>
      <c r="F58" s="291">
        <f t="shared" si="4"/>
        <v>9.8437500000000011E-2</v>
      </c>
      <c r="G58"/>
    </row>
    <row r="59" spans="1:12" hidden="1" outlineLevel="1">
      <c r="A59" s="92">
        <f t="shared" si="5"/>
        <v>13</v>
      </c>
      <c r="B59" s="576" t="s">
        <v>315</v>
      </c>
      <c r="D59" s="94"/>
      <c r="E59" s="290">
        <v>0</v>
      </c>
      <c r="F59" s="291">
        <f t="shared" si="4"/>
        <v>9.8437500000000011E-2</v>
      </c>
      <c r="G59"/>
    </row>
    <row r="60" spans="1:12" hidden="1" outlineLevel="1">
      <c r="A60" s="92">
        <f t="shared" si="5"/>
        <v>14</v>
      </c>
      <c r="B60" s="576" t="s">
        <v>315</v>
      </c>
      <c r="D60" s="94"/>
      <c r="E60" s="290">
        <v>0</v>
      </c>
      <c r="F60" s="291">
        <f t="shared" si="4"/>
        <v>9.8437500000000011E-2</v>
      </c>
      <c r="G60"/>
    </row>
    <row r="61" spans="1:12" hidden="1" outlineLevel="1">
      <c r="A61" s="92">
        <f t="shared" si="5"/>
        <v>15</v>
      </c>
      <c r="B61" s="576" t="s">
        <v>315</v>
      </c>
      <c r="D61" s="94"/>
      <c r="E61" s="290">
        <v>0</v>
      </c>
      <c r="F61" s="291">
        <f t="shared" si="4"/>
        <v>9.8437500000000011E-2</v>
      </c>
      <c r="G61"/>
    </row>
    <row r="62" spans="1:12" hidden="1" outlineLevel="1">
      <c r="A62" s="92">
        <f t="shared" si="5"/>
        <v>16</v>
      </c>
      <c r="B62" s="576" t="s">
        <v>315</v>
      </c>
      <c r="D62" s="94"/>
      <c r="E62" s="290">
        <v>0</v>
      </c>
      <c r="F62" s="291">
        <f t="shared" si="4"/>
        <v>9.8437500000000011E-2</v>
      </c>
      <c r="G62"/>
    </row>
    <row r="63" spans="1:12" hidden="1" outlineLevel="1">
      <c r="A63" s="92">
        <f t="shared" si="5"/>
        <v>17</v>
      </c>
      <c r="B63" s="576" t="s">
        <v>315</v>
      </c>
      <c r="D63" s="94"/>
      <c r="E63" s="290">
        <v>0</v>
      </c>
      <c r="F63" s="291">
        <f t="shared" si="4"/>
        <v>9.8437500000000011E-2</v>
      </c>
      <c r="G63"/>
    </row>
    <row r="64" spans="1:12" hidden="1" outlineLevel="1">
      <c r="A64" s="92">
        <f t="shared" si="5"/>
        <v>18</v>
      </c>
      <c r="B64" s="576" t="s">
        <v>315</v>
      </c>
      <c r="D64" s="94"/>
      <c r="E64" s="290">
        <v>0</v>
      </c>
      <c r="F64" s="291">
        <f t="shared" si="4"/>
        <v>9.8437500000000011E-2</v>
      </c>
      <c r="G64"/>
    </row>
    <row r="65" spans="1:10" hidden="1" outlineLevel="1">
      <c r="A65" s="92">
        <f t="shared" si="5"/>
        <v>19</v>
      </c>
      <c r="B65" s="576" t="s">
        <v>315</v>
      </c>
      <c r="D65" s="94"/>
      <c r="E65" s="290">
        <v>0</v>
      </c>
      <c r="F65" s="291">
        <f t="shared" si="4"/>
        <v>9.8437500000000011E-2</v>
      </c>
      <c r="G65"/>
    </row>
    <row r="66" spans="1:10" hidden="1" outlineLevel="1">
      <c r="A66" s="92">
        <f t="shared" si="5"/>
        <v>20</v>
      </c>
      <c r="B66" s="576" t="s">
        <v>315</v>
      </c>
      <c r="D66" s="94"/>
      <c r="E66" s="290">
        <v>0</v>
      </c>
      <c r="F66" s="291">
        <f t="shared" si="4"/>
        <v>9.8437500000000011E-2</v>
      </c>
      <c r="G66"/>
    </row>
    <row r="67" spans="1:10" hidden="1" outlineLevel="1">
      <c r="A67" s="92">
        <f t="shared" si="5"/>
        <v>21</v>
      </c>
      <c r="B67" s="576" t="s">
        <v>315</v>
      </c>
      <c r="D67" s="94"/>
      <c r="E67" s="290">
        <v>0</v>
      </c>
      <c r="F67" s="291">
        <f t="shared" si="4"/>
        <v>9.8437500000000011E-2</v>
      </c>
      <c r="G67"/>
    </row>
    <row r="68" spans="1:10" hidden="1" outlineLevel="1">
      <c r="A68" s="92">
        <f t="shared" si="5"/>
        <v>22</v>
      </c>
      <c r="B68" s="576" t="s">
        <v>315</v>
      </c>
      <c r="D68" s="94"/>
      <c r="E68" s="290">
        <v>0</v>
      </c>
      <c r="F68" s="291">
        <f t="shared" si="4"/>
        <v>9.8437500000000011E-2</v>
      </c>
      <c r="G68"/>
    </row>
    <row r="69" spans="1:10" hidden="1" outlineLevel="1">
      <c r="A69" s="92">
        <f t="shared" si="5"/>
        <v>23</v>
      </c>
      <c r="B69" s="576" t="s">
        <v>315</v>
      </c>
      <c r="D69" s="94"/>
      <c r="E69" s="290">
        <v>0</v>
      </c>
      <c r="F69" s="291">
        <f t="shared" si="4"/>
        <v>9.8437500000000011E-2</v>
      </c>
      <c r="G69"/>
    </row>
    <row r="70" spans="1:10" collapsed="1">
      <c r="A70" s="100" t="s">
        <v>47</v>
      </c>
      <c r="B70" s="97" t="s">
        <v>135</v>
      </c>
      <c r="C70" s="97"/>
      <c r="D70" s="97"/>
      <c r="E70" s="98">
        <f>SUM(E51:E69)</f>
        <v>74252958</v>
      </c>
      <c r="F70" s="98"/>
      <c r="G70"/>
    </row>
    <row r="71" spans="1:10">
      <c r="B71" s="553" t="s">
        <v>282</v>
      </c>
      <c r="F71" s="94"/>
      <c r="G71" s="94"/>
    </row>
    <row r="72" spans="1:10">
      <c r="B72" s="553" t="s">
        <v>291</v>
      </c>
      <c r="F72" s="94"/>
      <c r="G72" s="94"/>
    </row>
    <row r="73" spans="1:10">
      <c r="B73" s="553" t="s">
        <v>293</v>
      </c>
      <c r="F73" s="94"/>
      <c r="G73" s="94"/>
    </row>
    <row r="74" spans="1:10">
      <c r="D74" s="94"/>
      <c r="E74" s="94"/>
      <c r="F74" s="94"/>
      <c r="G74" s="94"/>
    </row>
    <row r="75" spans="1:10" ht="27.75">
      <c r="B75" s="102" t="s">
        <v>278</v>
      </c>
      <c r="C75" s="93"/>
      <c r="E75" s="94"/>
      <c r="F75" s="94"/>
      <c r="G75" s="94"/>
      <c r="I75"/>
      <c r="J75"/>
    </row>
    <row r="76" spans="1:10">
      <c r="B76" s="42" t="s">
        <v>384</v>
      </c>
      <c r="C76" s="43"/>
      <c r="D76" s="43"/>
      <c r="E76" s="43"/>
      <c r="F76" s="43"/>
      <c r="I76"/>
    </row>
    <row r="77" spans="1:10" ht="31.5">
      <c r="A77" s="45" t="s">
        <v>45</v>
      </c>
      <c r="B77" s="562" t="s">
        <v>46</v>
      </c>
      <c r="C77" s="562" t="s">
        <v>84</v>
      </c>
      <c r="D77" s="562" t="s">
        <v>93</v>
      </c>
      <c r="E77" s="562" t="s">
        <v>94</v>
      </c>
      <c r="F77" s="562" t="s">
        <v>95</v>
      </c>
      <c r="I77"/>
    </row>
    <row r="78" spans="1:10" ht="18.75">
      <c r="A78" s="44">
        <v>1</v>
      </c>
      <c r="B78" s="557" t="s">
        <v>256</v>
      </c>
      <c r="C78" s="558">
        <v>1400</v>
      </c>
      <c r="D78" s="559">
        <v>2012</v>
      </c>
      <c r="E78" s="560">
        <f t="shared" ref="E78:E87" si="6">2020-D78</f>
        <v>8</v>
      </c>
      <c r="F78" s="561">
        <f t="shared" ref="F78:F88" si="7">C78/E78</f>
        <v>175</v>
      </c>
    </row>
    <row r="79" spans="1:10">
      <c r="A79" s="44">
        <f>A78+1</f>
        <v>2</v>
      </c>
      <c r="B79" s="168" t="s">
        <v>75</v>
      </c>
      <c r="C79" s="169">
        <v>1100</v>
      </c>
      <c r="D79" s="170">
        <v>2013</v>
      </c>
      <c r="E79" s="171">
        <f>2020-D79</f>
        <v>7</v>
      </c>
      <c r="F79" s="172">
        <f>C79/E79</f>
        <v>157.14285714285714</v>
      </c>
    </row>
    <row r="80" spans="1:10">
      <c r="A80" s="44">
        <f t="shared" ref="A80:A88" si="8">A79+1</f>
        <v>3</v>
      </c>
      <c r="B80" s="168" t="s">
        <v>76</v>
      </c>
      <c r="C80" s="169">
        <v>1100</v>
      </c>
      <c r="D80" s="170">
        <v>2013</v>
      </c>
      <c r="E80" s="171">
        <f t="shared" si="6"/>
        <v>7</v>
      </c>
      <c r="F80" s="172">
        <f t="shared" si="7"/>
        <v>157.14285714285714</v>
      </c>
    </row>
    <row r="81" spans="1:7">
      <c r="A81" s="44">
        <f t="shared" si="8"/>
        <v>4</v>
      </c>
      <c r="B81" s="168" t="s">
        <v>77</v>
      </c>
      <c r="C81" s="169">
        <v>1000</v>
      </c>
      <c r="D81" s="170">
        <v>2013</v>
      </c>
      <c r="E81" s="171">
        <f t="shared" si="6"/>
        <v>7</v>
      </c>
      <c r="F81" s="172">
        <f t="shared" si="7"/>
        <v>142.85714285714286</v>
      </c>
    </row>
    <row r="82" spans="1:7">
      <c r="A82" s="44">
        <f t="shared" si="8"/>
        <v>5</v>
      </c>
      <c r="B82" s="168" t="s">
        <v>78</v>
      </c>
      <c r="C82" s="173">
        <v>700</v>
      </c>
      <c r="D82" s="170">
        <v>2013</v>
      </c>
      <c r="E82" s="171">
        <f t="shared" si="6"/>
        <v>7</v>
      </c>
      <c r="F82" s="174">
        <f t="shared" si="7"/>
        <v>100</v>
      </c>
    </row>
    <row r="83" spans="1:7">
      <c r="A83" s="44">
        <f t="shared" si="8"/>
        <v>6</v>
      </c>
      <c r="B83" s="168" t="s">
        <v>79</v>
      </c>
      <c r="C83" s="173">
        <v>300</v>
      </c>
      <c r="D83" s="170">
        <v>2013</v>
      </c>
      <c r="E83" s="171">
        <f t="shared" si="6"/>
        <v>7</v>
      </c>
      <c r="F83" s="174">
        <f t="shared" si="7"/>
        <v>42.857142857142854</v>
      </c>
    </row>
    <row r="84" spans="1:7">
      <c r="A84" s="44">
        <f t="shared" si="8"/>
        <v>7</v>
      </c>
      <c r="B84" s="168" t="s">
        <v>80</v>
      </c>
      <c r="C84" s="173">
        <v>250</v>
      </c>
      <c r="D84" s="170">
        <v>2013</v>
      </c>
      <c r="E84" s="171">
        <f t="shared" si="6"/>
        <v>7</v>
      </c>
      <c r="F84" s="174">
        <f t="shared" si="7"/>
        <v>35.714285714285715</v>
      </c>
    </row>
    <row r="85" spans="1:7">
      <c r="A85" s="44">
        <f t="shared" si="8"/>
        <v>8</v>
      </c>
      <c r="B85" s="168" t="s">
        <v>81</v>
      </c>
      <c r="C85" s="173">
        <v>900</v>
      </c>
      <c r="D85" s="170">
        <v>2007</v>
      </c>
      <c r="E85" s="171">
        <f t="shared" si="6"/>
        <v>13</v>
      </c>
      <c r="F85" s="174">
        <f t="shared" si="7"/>
        <v>69.230769230769226</v>
      </c>
    </row>
    <row r="86" spans="1:7">
      <c r="A86" s="44">
        <f t="shared" si="8"/>
        <v>9</v>
      </c>
      <c r="B86" s="168" t="s">
        <v>82</v>
      </c>
      <c r="C86" s="173">
        <v>1000</v>
      </c>
      <c r="D86" s="170">
        <v>2014</v>
      </c>
      <c r="E86" s="171">
        <f t="shared" si="6"/>
        <v>6</v>
      </c>
      <c r="F86" s="174">
        <f t="shared" si="7"/>
        <v>166.66666666666666</v>
      </c>
    </row>
    <row r="87" spans="1:7">
      <c r="A87" s="44">
        <f t="shared" si="8"/>
        <v>10</v>
      </c>
      <c r="B87" s="168" t="s">
        <v>83</v>
      </c>
      <c r="C87" s="173">
        <v>1200</v>
      </c>
      <c r="D87" s="170">
        <v>2014</v>
      </c>
      <c r="E87" s="171">
        <f t="shared" si="6"/>
        <v>6</v>
      </c>
      <c r="F87" s="174">
        <f t="shared" si="7"/>
        <v>200</v>
      </c>
    </row>
    <row r="88" spans="1:7">
      <c r="A88" s="44">
        <f t="shared" si="8"/>
        <v>11</v>
      </c>
      <c r="B88" s="168" t="s">
        <v>279</v>
      </c>
      <c r="C88" s="173">
        <v>8967.68</v>
      </c>
      <c r="D88" s="170">
        <v>2015</v>
      </c>
      <c r="E88" s="514">
        <v>4.5</v>
      </c>
      <c r="F88" s="174">
        <f t="shared" si="7"/>
        <v>1992.8177777777778</v>
      </c>
    </row>
    <row r="89" spans="1:7" ht="18.75">
      <c r="B89" s="175" t="s">
        <v>280</v>
      </c>
      <c r="C89" s="176">
        <f>MEDIAN(C78:C88)</f>
        <v>1000</v>
      </c>
      <c r="D89" s="177">
        <f>MEDIAN(D78:D88)</f>
        <v>2013</v>
      </c>
      <c r="E89" s="177">
        <f>MEDIAN(E78:E88)</f>
        <v>7</v>
      </c>
      <c r="F89" s="178">
        <f>MEDIAN(F78:F88)</f>
        <v>157.14285714285714</v>
      </c>
    </row>
    <row r="90" spans="1:7">
      <c r="B90" s="554" t="s">
        <v>257</v>
      </c>
      <c r="D90" s="101"/>
      <c r="E90" s="101"/>
      <c r="F90" s="101"/>
      <c r="G90" s="101"/>
    </row>
    <row r="91" spans="1:7">
      <c r="B91" s="554" t="s">
        <v>281</v>
      </c>
      <c r="D91" s="101"/>
      <c r="E91" s="101"/>
      <c r="F91" s="101"/>
      <c r="G91" s="101"/>
    </row>
  </sheetData>
  <pageMargins left="0.7" right="0.7" top="0.75" bottom="0.75" header="0.3" footer="0.3"/>
  <pageSetup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4C6D-914A-4AA5-B200-8AF04479DFBD}">
  <sheetPr>
    <tabColor rgb="FF00B050"/>
  </sheetPr>
  <dimension ref="B1:X36"/>
  <sheetViews>
    <sheetView showGridLines="0" view="pageBreakPreview" topLeftCell="A4" zoomScale="90" zoomScaleNormal="100" zoomScaleSheetLayoutView="90" workbookViewId="0">
      <selection activeCell="L23" sqref="L23"/>
    </sheetView>
  </sheetViews>
  <sheetFormatPr defaultColWidth="8.85546875" defaultRowHeight="15"/>
  <cols>
    <col min="1" max="1" width="2.7109375" customWidth="1"/>
    <col min="2" max="2" width="3.28515625" bestFit="1" customWidth="1"/>
    <col min="3" max="3" width="8.7109375" customWidth="1"/>
    <col min="6" max="6" width="12.85546875" bestFit="1" customWidth="1"/>
    <col min="7" max="7" width="13.7109375" bestFit="1" customWidth="1"/>
    <col min="8" max="8" width="13.85546875" bestFit="1" customWidth="1"/>
    <col min="13" max="13" width="33.42578125" bestFit="1" customWidth="1"/>
    <col min="15" max="15" width="26.28515625" bestFit="1" customWidth="1"/>
    <col min="17" max="17" width="11.42578125" bestFit="1" customWidth="1"/>
    <col min="19" max="19" width="9.85546875" bestFit="1" customWidth="1"/>
    <col min="28" max="28" width="8" customWidth="1"/>
  </cols>
  <sheetData>
    <row r="1" spans="2:24" ht="20.100000000000001" customHeight="1">
      <c r="B1" s="552" t="str">
        <f>Headcount!B1</f>
        <v>Steward Holdings (US) Inc., A Public Benefit Corporation</v>
      </c>
    </row>
    <row r="2" spans="2:24" ht="20.100000000000001" customHeight="1">
      <c r="B2" s="517" t="s">
        <v>273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7.25">
      <c r="B3" t="s">
        <v>274</v>
      </c>
    </row>
    <row r="5" spans="2:24">
      <c r="B5" s="524" t="s">
        <v>167</v>
      </c>
      <c r="C5" s="524"/>
      <c r="D5" s="525"/>
      <c r="E5" s="525"/>
      <c r="F5" s="525"/>
      <c r="G5" s="525"/>
      <c r="H5" s="525"/>
      <c r="I5" s="525"/>
      <c r="J5" s="525"/>
      <c r="K5" s="525"/>
      <c r="L5" s="525"/>
      <c r="M5" s="525"/>
      <c r="O5" s="524" t="s">
        <v>336</v>
      </c>
      <c r="P5" s="525"/>
      <c r="Q5" s="525"/>
      <c r="R5" s="525"/>
      <c r="S5" s="525"/>
    </row>
    <row r="6" spans="2:24" ht="35.1" customHeight="1">
      <c r="B6" s="535" t="s">
        <v>45</v>
      </c>
      <c r="C6" s="533" t="s">
        <v>150</v>
      </c>
      <c r="D6" s="534" t="s">
        <v>168</v>
      </c>
      <c r="E6" s="534" t="s">
        <v>276</v>
      </c>
      <c r="F6" s="534" t="s">
        <v>338</v>
      </c>
      <c r="G6" s="534" t="s">
        <v>342</v>
      </c>
      <c r="H6" s="534" t="s">
        <v>298</v>
      </c>
      <c r="I6" s="596" t="s">
        <v>345</v>
      </c>
      <c r="J6" s="534" t="s">
        <v>299</v>
      </c>
      <c r="K6" s="534" t="s">
        <v>344</v>
      </c>
      <c r="L6" s="534" t="s">
        <v>337</v>
      </c>
      <c r="M6" s="534" t="s">
        <v>300</v>
      </c>
      <c r="O6" s="534" t="s">
        <v>170</v>
      </c>
      <c r="P6" s="534"/>
      <c r="Q6" s="595" t="s">
        <v>339</v>
      </c>
      <c r="R6" s="543"/>
      <c r="S6" s="542" t="s">
        <v>303</v>
      </c>
    </row>
    <row r="7" spans="2:24">
      <c r="B7" s="536">
        <v>1</v>
      </c>
      <c r="C7" s="527">
        <v>43159</v>
      </c>
      <c r="D7" s="528">
        <f>4736</f>
        <v>4736</v>
      </c>
      <c r="E7" s="529">
        <v>133</v>
      </c>
      <c r="F7" s="530">
        <f>D7/E7</f>
        <v>35.609022556390975</v>
      </c>
      <c r="G7" s="530"/>
      <c r="H7" s="531"/>
      <c r="I7" s="531"/>
      <c r="J7" s="532"/>
      <c r="K7" s="532"/>
      <c r="L7" s="532"/>
      <c r="M7" s="532"/>
      <c r="O7" s="541">
        <v>2018</v>
      </c>
      <c r="P7" s="539"/>
      <c r="Q7" s="341">
        <f>F17</f>
        <v>25.025575447570333</v>
      </c>
      <c r="S7" s="289">
        <f>$D$17/SUM($D$21,$D$17)</f>
        <v>0.31590671846582652</v>
      </c>
    </row>
    <row r="8" spans="2:24">
      <c r="B8" s="536">
        <f>B7+1</f>
        <v>2</v>
      </c>
      <c r="C8" s="526">
        <f>EDATE(C7,1)</f>
        <v>43187</v>
      </c>
      <c r="D8" s="518">
        <v>6860</v>
      </c>
      <c r="E8" s="518">
        <v>194</v>
      </c>
      <c r="F8" s="519">
        <f t="shared" ref="F8:F10" si="0">D8/E8</f>
        <v>35.360824742268044</v>
      </c>
      <c r="G8" s="519"/>
      <c r="H8" s="520"/>
      <c r="I8" s="520"/>
      <c r="J8" s="521"/>
      <c r="K8" s="521"/>
      <c r="L8" s="521"/>
      <c r="M8" s="521"/>
      <c r="O8" s="541">
        <v>2019</v>
      </c>
      <c r="P8" s="539"/>
      <c r="Q8" s="341">
        <f>F21</f>
        <v>10.321156031823348</v>
      </c>
      <c r="S8" s="289">
        <f>$D$21/SUM($D$21,$D$17)</f>
        <v>0.68409328153417348</v>
      </c>
    </row>
    <row r="9" spans="2:24">
      <c r="B9" s="536">
        <f t="shared" ref="B9:B10" si="1">B8+1</f>
        <v>3</v>
      </c>
      <c r="C9" s="526">
        <f t="shared" ref="C9:C10" si="2">EDATE(C8,1)</f>
        <v>43218</v>
      </c>
      <c r="D9" s="518">
        <v>7971</v>
      </c>
      <c r="E9" s="518">
        <v>237</v>
      </c>
      <c r="F9" s="519">
        <f t="shared" si="0"/>
        <v>33.632911392405063</v>
      </c>
      <c r="G9" s="519"/>
      <c r="H9" s="520"/>
      <c r="I9" s="520"/>
      <c r="J9" s="521"/>
      <c r="K9" s="521"/>
      <c r="L9" s="521"/>
      <c r="M9" s="521"/>
      <c r="O9" s="540" t="s">
        <v>340</v>
      </c>
      <c r="P9" s="344"/>
      <c r="Q9" s="345">
        <f>Q7*S7+Q8*S8</f>
        <v>14.966380916397164</v>
      </c>
      <c r="R9" s="345"/>
      <c r="S9" s="346">
        <f>SUM(S7:S8)</f>
        <v>1</v>
      </c>
    </row>
    <row r="10" spans="2:24">
      <c r="B10" s="536">
        <f t="shared" si="1"/>
        <v>4</v>
      </c>
      <c r="C10" s="526">
        <f t="shared" si="2"/>
        <v>43248</v>
      </c>
      <c r="D10" s="518">
        <v>11265</v>
      </c>
      <c r="E10" s="518">
        <v>338</v>
      </c>
      <c r="F10" s="519">
        <f t="shared" si="0"/>
        <v>33.328402366863905</v>
      </c>
      <c r="G10" s="519"/>
      <c r="H10" s="520"/>
      <c r="I10" s="520"/>
      <c r="J10" s="521"/>
      <c r="K10" s="521"/>
      <c r="L10" s="521"/>
      <c r="M10" s="521"/>
    </row>
    <row r="11" spans="2:24">
      <c r="B11" s="536">
        <f t="shared" ref="B11:B21" si="3">B10+1</f>
        <v>5</v>
      </c>
      <c r="C11" s="526">
        <f t="shared" ref="C11:C21" si="4">EDATE(C10,1)</f>
        <v>43279</v>
      </c>
      <c r="D11" s="518">
        <v>14360</v>
      </c>
      <c r="E11" s="518">
        <v>438</v>
      </c>
      <c r="F11" s="519">
        <f t="shared" ref="F11:F21" si="5">D11/E11</f>
        <v>32.785388127853878</v>
      </c>
      <c r="G11" s="519"/>
      <c r="H11" s="520"/>
      <c r="I11" s="520"/>
      <c r="J11" s="521"/>
      <c r="K11" s="521"/>
      <c r="L11" s="521"/>
      <c r="M11" s="521"/>
      <c r="O11" s="524" t="s">
        <v>347</v>
      </c>
      <c r="P11" s="525"/>
      <c r="Q11" s="525"/>
      <c r="R11" s="525"/>
      <c r="S11" s="525"/>
    </row>
    <row r="12" spans="2:24">
      <c r="B12" s="536">
        <f t="shared" si="3"/>
        <v>6</v>
      </c>
      <c r="C12" s="526">
        <f t="shared" si="4"/>
        <v>43309</v>
      </c>
      <c r="D12" s="518">
        <v>16661</v>
      </c>
      <c r="E12" s="518">
        <v>532</v>
      </c>
      <c r="F12" s="519">
        <f t="shared" si="5"/>
        <v>31.31766917293233</v>
      </c>
      <c r="G12" s="519"/>
      <c r="H12" s="520"/>
      <c r="I12" s="520"/>
      <c r="J12" s="521"/>
      <c r="K12" s="521"/>
      <c r="L12" s="521"/>
      <c r="M12" s="521"/>
      <c r="O12" s="534" t="s">
        <v>305</v>
      </c>
      <c r="P12" s="534"/>
      <c r="Q12" s="542" t="s">
        <v>346</v>
      </c>
      <c r="R12" s="543"/>
      <c r="S12" s="542" t="s">
        <v>303</v>
      </c>
    </row>
    <row r="13" spans="2:24">
      <c r="B13" s="536">
        <f t="shared" si="3"/>
        <v>7</v>
      </c>
      <c r="C13" s="526">
        <f t="shared" si="4"/>
        <v>43340</v>
      </c>
      <c r="D13" s="518">
        <v>19338</v>
      </c>
      <c r="E13" s="518">
        <v>724</v>
      </c>
      <c r="F13" s="519">
        <f t="shared" si="5"/>
        <v>26.709944751381215</v>
      </c>
      <c r="G13" s="519"/>
      <c r="H13" s="520"/>
      <c r="I13" s="520"/>
      <c r="J13" s="521"/>
      <c r="K13" s="521"/>
      <c r="L13" s="521"/>
      <c r="M13" s="521"/>
      <c r="O13" s="541">
        <f>O7</f>
        <v>2018</v>
      </c>
      <c r="P13" s="343"/>
      <c r="Q13" s="341">
        <f>K17</f>
        <v>166.78977272727272</v>
      </c>
      <c r="S13" s="289">
        <f>$D$17/SUM($D$21,$D$17)</f>
        <v>0.31590671846582652</v>
      </c>
    </row>
    <row r="14" spans="2:24">
      <c r="B14" s="536">
        <f t="shared" si="3"/>
        <v>8</v>
      </c>
      <c r="C14" s="526">
        <f t="shared" si="4"/>
        <v>43371</v>
      </c>
      <c r="D14" s="518">
        <v>21856</v>
      </c>
      <c r="E14" s="518">
        <v>946</v>
      </c>
      <c r="F14" s="519">
        <f t="shared" si="5"/>
        <v>23.103594080338265</v>
      </c>
      <c r="G14" s="519"/>
      <c r="H14" s="520"/>
      <c r="I14" s="520"/>
      <c r="J14" s="521"/>
      <c r="K14" s="521"/>
      <c r="L14" s="521"/>
      <c r="M14" s="521"/>
      <c r="O14" s="541">
        <f>O8</f>
        <v>2019</v>
      </c>
      <c r="P14" s="343"/>
      <c r="Q14" s="341">
        <f>K21</f>
        <v>68.796536796536799</v>
      </c>
      <c r="S14" s="289">
        <f>$D$21/SUM($D$21,$D$17)</f>
        <v>0.68409328153417348</v>
      </c>
    </row>
    <row r="15" spans="2:24" ht="17.25">
      <c r="B15" s="536">
        <f t="shared" si="3"/>
        <v>9</v>
      </c>
      <c r="C15" s="526">
        <f t="shared" si="4"/>
        <v>43401</v>
      </c>
      <c r="D15" s="518">
        <f>26317/2</f>
        <v>13158.5</v>
      </c>
      <c r="E15" s="518">
        <f>1077/2</f>
        <v>538.5</v>
      </c>
      <c r="F15" s="519">
        <f t="shared" si="5"/>
        <v>24.435468895078923</v>
      </c>
      <c r="G15" s="519"/>
      <c r="H15" s="520"/>
      <c r="I15" s="520"/>
      <c r="J15" s="521"/>
      <c r="K15" s="521"/>
      <c r="L15" s="521"/>
      <c r="M15" s="521"/>
      <c r="O15" s="544" t="s">
        <v>277</v>
      </c>
      <c r="P15" s="344"/>
      <c r="Q15" s="345">
        <f>Q13*S13+Q14*S14</f>
        <v>99.753258391263103</v>
      </c>
      <c r="R15" s="1"/>
      <c r="S15" s="346">
        <f>SUM(S13:S14)</f>
        <v>1</v>
      </c>
    </row>
    <row r="16" spans="2:24">
      <c r="B16" s="536">
        <f t="shared" si="3"/>
        <v>10</v>
      </c>
      <c r="C16" s="526">
        <f t="shared" si="4"/>
        <v>43432</v>
      </c>
      <c r="D16" s="518">
        <f>26317/2</f>
        <v>13158.5</v>
      </c>
      <c r="E16" s="518">
        <f>1077/2</f>
        <v>538.5</v>
      </c>
      <c r="F16" s="519">
        <f t="shared" si="5"/>
        <v>24.435468895078923</v>
      </c>
      <c r="G16" s="519"/>
      <c r="H16" s="520"/>
      <c r="I16" s="520"/>
      <c r="J16" s="521"/>
      <c r="K16" s="521"/>
      <c r="L16" s="521"/>
      <c r="M16" s="521"/>
    </row>
    <row r="17" spans="2:19" ht="17.25">
      <c r="B17" s="536">
        <f t="shared" si="3"/>
        <v>11</v>
      </c>
      <c r="C17" s="526">
        <f t="shared" si="4"/>
        <v>43462</v>
      </c>
      <c r="D17" s="518">
        <v>29355</v>
      </c>
      <c r="E17" s="518">
        <v>1173</v>
      </c>
      <c r="F17" s="519">
        <f t="shared" si="5"/>
        <v>25.025575447570333</v>
      </c>
      <c r="G17" s="498">
        <v>0.15</v>
      </c>
      <c r="H17" s="498">
        <v>0.03</v>
      </c>
      <c r="I17" s="521">
        <f>ROUND(G17*E17,0)</f>
        <v>176</v>
      </c>
      <c r="J17" s="521">
        <f>ROUND(H17*E17,0)</f>
        <v>35</v>
      </c>
      <c r="K17" s="522">
        <f>D17/I17</f>
        <v>166.78977272727272</v>
      </c>
      <c r="L17" s="522">
        <f>D17/J17</f>
        <v>838.71428571428567</v>
      </c>
      <c r="M17" s="537" t="s">
        <v>301</v>
      </c>
      <c r="O17" s="545" t="s">
        <v>348</v>
      </c>
      <c r="S17" s="546">
        <f>99*12*5</f>
        <v>5940</v>
      </c>
    </row>
    <row r="18" spans="2:19">
      <c r="B18" s="536">
        <f t="shared" si="3"/>
        <v>12</v>
      </c>
      <c r="C18" s="526">
        <f t="shared" si="4"/>
        <v>43493</v>
      </c>
      <c r="D18" s="518">
        <v>1319</v>
      </c>
      <c r="E18" s="518">
        <v>40</v>
      </c>
      <c r="F18" s="519">
        <f t="shared" si="5"/>
        <v>32.975000000000001</v>
      </c>
      <c r="G18" s="523"/>
      <c r="H18" s="523"/>
      <c r="I18" s="521"/>
      <c r="J18" s="521"/>
      <c r="K18" s="521"/>
      <c r="L18" s="521"/>
      <c r="M18" s="521"/>
    </row>
    <row r="19" spans="2:19">
      <c r="B19" s="536">
        <f t="shared" si="3"/>
        <v>13</v>
      </c>
      <c r="C19" s="526">
        <f t="shared" si="4"/>
        <v>43524</v>
      </c>
      <c r="D19" s="518">
        <v>4181</v>
      </c>
      <c r="E19" s="518">
        <v>111</v>
      </c>
      <c r="F19" s="519">
        <f t="shared" si="5"/>
        <v>37.666666666666664</v>
      </c>
      <c r="G19" s="523"/>
      <c r="H19" s="523"/>
      <c r="I19" s="521"/>
      <c r="J19" s="521"/>
      <c r="K19" s="521"/>
      <c r="L19" s="521"/>
      <c r="M19" s="521"/>
      <c r="O19" s="551" t="s">
        <v>169</v>
      </c>
      <c r="P19" s="547"/>
      <c r="Q19" s="547"/>
      <c r="R19" s="347"/>
      <c r="S19" s="348">
        <f>S17/Q15</f>
        <v>59.54692704574606</v>
      </c>
    </row>
    <row r="20" spans="2:19">
      <c r="B20" s="536">
        <f t="shared" si="3"/>
        <v>14</v>
      </c>
      <c r="C20" s="526">
        <f t="shared" si="4"/>
        <v>43552</v>
      </c>
      <c r="D20" s="518">
        <v>7500</v>
      </c>
      <c r="E20" s="518">
        <v>184</v>
      </c>
      <c r="F20" s="519">
        <f t="shared" si="5"/>
        <v>40.760869565217391</v>
      </c>
      <c r="G20" s="523"/>
      <c r="H20" s="523"/>
      <c r="I20" s="521"/>
      <c r="J20" s="521"/>
      <c r="K20" s="521"/>
      <c r="L20" s="521"/>
      <c r="M20" s="521"/>
    </row>
    <row r="21" spans="2:19">
      <c r="B21" s="536">
        <f t="shared" si="3"/>
        <v>15</v>
      </c>
      <c r="C21" s="526">
        <f t="shared" si="4"/>
        <v>43583</v>
      </c>
      <c r="D21" s="518">
        <v>63568</v>
      </c>
      <c r="E21" s="518">
        <v>6159</v>
      </c>
      <c r="F21" s="519">
        <f t="shared" si="5"/>
        <v>10.321156031823348</v>
      </c>
      <c r="G21" s="498">
        <v>0.15</v>
      </c>
      <c r="H21" s="498">
        <v>0.03</v>
      </c>
      <c r="I21" s="521">
        <f>ROUND(G21*E21,0)</f>
        <v>924</v>
      </c>
      <c r="J21" s="521">
        <f>ROUND(H21*E21,0)</f>
        <v>185</v>
      </c>
      <c r="K21" s="522">
        <f>D21/I21</f>
        <v>68.796536796536799</v>
      </c>
      <c r="L21" s="522">
        <f>D21/J21</f>
        <v>343.61081081081079</v>
      </c>
      <c r="M21" s="538" t="s">
        <v>302</v>
      </c>
      <c r="O21" s="524" t="s">
        <v>343</v>
      </c>
      <c r="P21" s="525"/>
      <c r="Q21" s="525"/>
      <c r="R21" s="525"/>
      <c r="S21" s="525"/>
    </row>
    <row r="22" spans="2:19">
      <c r="O22" s="534" t="s">
        <v>305</v>
      </c>
      <c r="P22" s="534"/>
      <c r="Q22" s="542" t="s">
        <v>304</v>
      </c>
      <c r="R22" s="543"/>
      <c r="S22" s="542" t="s">
        <v>303</v>
      </c>
    </row>
    <row r="23" spans="2:19">
      <c r="O23" s="541">
        <f>O7</f>
        <v>2018</v>
      </c>
      <c r="P23" s="343"/>
      <c r="Q23" s="341">
        <f>L17</f>
        <v>838.71428571428567</v>
      </c>
      <c r="S23" s="289">
        <f>$D$17/SUM($D$21,$D$17)</f>
        <v>0.31590671846582652</v>
      </c>
    </row>
    <row r="24" spans="2:19">
      <c r="C24" s="513" t="s">
        <v>275</v>
      </c>
      <c r="D24" s="2"/>
      <c r="E24" s="2"/>
      <c r="F24" s="2"/>
      <c r="G24" s="2"/>
      <c r="H24" s="2"/>
      <c r="I24" s="2"/>
      <c r="J24" s="2"/>
      <c r="K24" s="2"/>
      <c r="L24" s="2"/>
      <c r="M24" s="2"/>
      <c r="O24" s="541">
        <f>O8</f>
        <v>2019</v>
      </c>
      <c r="P24" s="343"/>
      <c r="Q24" s="341">
        <f>L21</f>
        <v>343.61081081081079</v>
      </c>
      <c r="S24" s="289">
        <f>$D$21/SUM($D$21,$D$17)</f>
        <v>0.68409328153417348</v>
      </c>
    </row>
    <row r="25" spans="2:19" ht="17.25">
      <c r="C25" s="351" t="s">
        <v>295</v>
      </c>
      <c r="O25" s="544" t="s">
        <v>354</v>
      </c>
      <c r="P25" s="344"/>
      <c r="Q25" s="345">
        <f>Q23*S23+Q24*S24</f>
        <v>500.01732486859527</v>
      </c>
      <c r="R25" s="1"/>
      <c r="S25" s="346">
        <f>SUM(S23:S24)</f>
        <v>1</v>
      </c>
    </row>
    <row r="26" spans="2:19">
      <c r="C26" s="351" t="s">
        <v>296</v>
      </c>
    </row>
    <row r="27" spans="2:19" ht="17.25">
      <c r="C27" s="351" t="s">
        <v>297</v>
      </c>
      <c r="O27" s="545" t="s">
        <v>355</v>
      </c>
      <c r="S27" s="546">
        <f>0.02*250000+0.01*250000*5</f>
        <v>17500</v>
      </c>
    </row>
    <row r="28" spans="2:19">
      <c r="C28" s="351" t="s">
        <v>350</v>
      </c>
    </row>
    <row r="29" spans="2:19">
      <c r="C29" s="351" t="s">
        <v>356</v>
      </c>
      <c r="O29" s="551" t="s">
        <v>169</v>
      </c>
      <c r="P29" s="547"/>
      <c r="Q29" s="547"/>
      <c r="R29" s="347"/>
      <c r="S29" s="348">
        <f>S27/Q25</f>
        <v>34.998787301218023</v>
      </c>
    </row>
    <row r="30" spans="2:19">
      <c r="C30" s="351" t="s">
        <v>351</v>
      </c>
    </row>
    <row r="31" spans="2:19">
      <c r="C31" s="351" t="s">
        <v>357</v>
      </c>
      <c r="O31" s="340" t="s">
        <v>341</v>
      </c>
      <c r="P31" s="2"/>
      <c r="Q31" s="2"/>
      <c r="R31" s="2"/>
      <c r="S31" s="2"/>
    </row>
    <row r="32" spans="2:19">
      <c r="C32" s="351" t="s">
        <v>352</v>
      </c>
      <c r="O32" s="541" t="s">
        <v>307</v>
      </c>
      <c r="S32" s="349">
        <f>D21+D17</f>
        <v>92923</v>
      </c>
    </row>
    <row r="33" spans="3:19" ht="17.25">
      <c r="C33" s="342" t="s">
        <v>349</v>
      </c>
      <c r="O33" s="541" t="s">
        <v>353</v>
      </c>
      <c r="S33" s="550">
        <v>16</v>
      </c>
    </row>
    <row r="34" spans="3:19">
      <c r="O34" s="350" t="s">
        <v>306</v>
      </c>
      <c r="P34" s="1"/>
      <c r="Q34" s="1"/>
      <c r="R34" s="1"/>
      <c r="S34" s="549">
        <f>S32/S33</f>
        <v>5807.6875</v>
      </c>
    </row>
    <row r="36" spans="3:19">
      <c r="O36" s="548" t="s">
        <v>169</v>
      </c>
      <c r="P36" s="347"/>
      <c r="Q36" s="347"/>
      <c r="R36" s="347"/>
      <c r="S36" s="348">
        <f>S27/S34</f>
        <v>3.0132475275227879</v>
      </c>
    </row>
  </sheetData>
  <pageMargins left="0.7" right="0.7" top="0.75" bottom="0.75" header="0.3" footer="0.3"/>
  <pageSetup scale="40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C760-4C2E-4ACA-B6FC-045D7942BCB5}">
  <sheetPr>
    <tabColor rgb="FF00B050"/>
  </sheetPr>
  <dimension ref="A1:AS143"/>
  <sheetViews>
    <sheetView showGridLines="0" zoomScale="70" zoomScaleNormal="70" workbookViewId="0">
      <pane ySplit="5" topLeftCell="A12" activePane="bottomLeft" state="frozen"/>
      <selection pane="bottomLeft" activeCell="M16" sqref="M16"/>
    </sheetView>
  </sheetViews>
  <sheetFormatPr defaultColWidth="8.7109375" defaultRowHeight="12.75"/>
  <cols>
    <col min="1" max="1" width="1.7109375" style="5" customWidth="1"/>
    <col min="2" max="2" width="46.28515625" style="5" bestFit="1" customWidth="1"/>
    <col min="3" max="3" width="18.7109375" style="5" bestFit="1" customWidth="1"/>
    <col min="4" max="4" width="18.7109375" style="5" customWidth="1"/>
    <col min="5" max="5" width="16.42578125" style="5" bestFit="1" customWidth="1"/>
    <col min="6" max="6" width="16.42578125" style="144" customWidth="1"/>
    <col min="7" max="45" width="15.7109375" style="5" customWidth="1"/>
    <col min="46" max="16384" width="8.7109375" style="5"/>
  </cols>
  <sheetData>
    <row r="1" spans="1:45" ht="20.100000000000001" customHeight="1">
      <c r="B1" s="80" t="str">
        <f>'Existing Loans + Loan Pipeline'!B1</f>
        <v>Steward Holdings (US) Inc., A Public Benefit Corporation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/>
      <c r="AS1"/>
    </row>
    <row r="2" spans="1:45" ht="13.35" customHeight="1">
      <c r="B2" s="105" t="s">
        <v>92</v>
      </c>
      <c r="C2" s="4"/>
      <c r="D2" s="4"/>
      <c r="E2" s="4"/>
      <c r="F2" s="10"/>
      <c r="G2" s="106" t="s">
        <v>1</v>
      </c>
      <c r="H2" s="106" t="s">
        <v>2</v>
      </c>
      <c r="I2" s="106" t="s">
        <v>2</v>
      </c>
      <c r="J2" s="106" t="s">
        <v>2</v>
      </c>
      <c r="K2" s="106" t="s">
        <v>2</v>
      </c>
      <c r="L2" s="106" t="s">
        <v>3</v>
      </c>
      <c r="M2" s="106" t="s">
        <v>3</v>
      </c>
      <c r="N2" s="106" t="s">
        <v>3</v>
      </c>
      <c r="O2" s="106" t="s">
        <v>3</v>
      </c>
      <c r="P2" s="106" t="s">
        <v>36</v>
      </c>
      <c r="Q2" s="106" t="s">
        <v>36</v>
      </c>
      <c r="R2" s="106" t="s">
        <v>36</v>
      </c>
      <c r="S2" s="106" t="s">
        <v>36</v>
      </c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/>
      <c r="AS2"/>
    </row>
    <row r="3" spans="1:45" ht="13.35" customHeight="1">
      <c r="B3" s="107"/>
      <c r="C3" s="107"/>
      <c r="D3" s="107"/>
      <c r="E3" s="107"/>
      <c r="F3" s="107"/>
      <c r="G3" s="106" t="s">
        <v>12</v>
      </c>
      <c r="H3" s="106" t="s">
        <v>42</v>
      </c>
      <c r="I3" s="106" t="s">
        <v>13</v>
      </c>
      <c r="J3" s="106" t="s">
        <v>14</v>
      </c>
      <c r="K3" s="106" t="s">
        <v>15</v>
      </c>
      <c r="L3" s="106" t="s">
        <v>16</v>
      </c>
      <c r="M3" s="106" t="s">
        <v>17</v>
      </c>
      <c r="N3" s="106" t="s">
        <v>18</v>
      </c>
      <c r="O3" s="106" t="s">
        <v>19</v>
      </c>
      <c r="P3" s="106" t="s">
        <v>24</v>
      </c>
      <c r="Q3" s="106" t="s">
        <v>25</v>
      </c>
      <c r="R3" s="106" t="s">
        <v>26</v>
      </c>
      <c r="S3" s="106" t="s">
        <v>27</v>
      </c>
      <c r="AR3"/>
      <c r="AS3"/>
    </row>
    <row r="4" spans="1:45" customFormat="1" ht="13.35" customHeight="1">
      <c r="A4" s="5"/>
      <c r="B4" s="7"/>
      <c r="C4" s="7"/>
      <c r="D4" s="7"/>
      <c r="E4" s="108"/>
      <c r="H4" s="672">
        <f>YEAR(H5)</f>
        <v>2020</v>
      </c>
      <c r="I4" s="672">
        <f t="shared" ref="I4:AQ4" si="0">YEAR(I5)</f>
        <v>2020</v>
      </c>
      <c r="J4" s="672">
        <f t="shared" si="0"/>
        <v>2020</v>
      </c>
      <c r="K4" s="672">
        <f t="shared" si="0"/>
        <v>2020</v>
      </c>
      <c r="L4" s="672">
        <f t="shared" si="0"/>
        <v>2020</v>
      </c>
      <c r="M4" s="672">
        <f t="shared" si="0"/>
        <v>2020</v>
      </c>
      <c r="N4" s="672">
        <f t="shared" si="0"/>
        <v>2020</v>
      </c>
      <c r="O4" s="672">
        <f t="shared" si="0"/>
        <v>2020</v>
      </c>
      <c r="P4" s="672">
        <f t="shared" si="0"/>
        <v>2020</v>
      </c>
      <c r="Q4" s="672">
        <f t="shared" si="0"/>
        <v>2020</v>
      </c>
      <c r="R4" s="672">
        <f t="shared" si="0"/>
        <v>2020</v>
      </c>
      <c r="S4" s="672">
        <f t="shared" si="0"/>
        <v>2020</v>
      </c>
      <c r="T4" s="672">
        <f t="shared" si="0"/>
        <v>2021</v>
      </c>
      <c r="U4" s="672">
        <f t="shared" si="0"/>
        <v>2021</v>
      </c>
      <c r="V4" s="672">
        <f t="shared" si="0"/>
        <v>2021</v>
      </c>
      <c r="W4" s="672">
        <f t="shared" si="0"/>
        <v>2021</v>
      </c>
      <c r="X4" s="672">
        <f t="shared" si="0"/>
        <v>2021</v>
      </c>
      <c r="Y4" s="672">
        <f t="shared" si="0"/>
        <v>2021</v>
      </c>
      <c r="Z4" s="672">
        <f t="shared" si="0"/>
        <v>2021</v>
      </c>
      <c r="AA4" s="672">
        <f t="shared" si="0"/>
        <v>2021</v>
      </c>
      <c r="AB4" s="672">
        <f t="shared" si="0"/>
        <v>2021</v>
      </c>
      <c r="AC4" s="672">
        <f t="shared" si="0"/>
        <v>2021</v>
      </c>
      <c r="AD4" s="672">
        <f t="shared" si="0"/>
        <v>2021</v>
      </c>
      <c r="AE4" s="672">
        <f t="shared" si="0"/>
        <v>2021</v>
      </c>
      <c r="AF4" s="672">
        <f t="shared" si="0"/>
        <v>2022</v>
      </c>
      <c r="AG4" s="672">
        <f t="shared" si="0"/>
        <v>2022</v>
      </c>
      <c r="AH4" s="672">
        <f t="shared" si="0"/>
        <v>2022</v>
      </c>
      <c r="AI4" s="672">
        <f t="shared" si="0"/>
        <v>2022</v>
      </c>
      <c r="AJ4" s="672">
        <f t="shared" si="0"/>
        <v>2022</v>
      </c>
      <c r="AK4" s="672">
        <f t="shared" si="0"/>
        <v>2022</v>
      </c>
      <c r="AL4" s="672">
        <f t="shared" si="0"/>
        <v>2022</v>
      </c>
      <c r="AM4" s="672">
        <f t="shared" si="0"/>
        <v>2022</v>
      </c>
      <c r="AN4" s="672">
        <f t="shared" si="0"/>
        <v>2022</v>
      </c>
      <c r="AO4" s="672">
        <f t="shared" si="0"/>
        <v>2022</v>
      </c>
      <c r="AP4" s="672">
        <f t="shared" si="0"/>
        <v>2022</v>
      </c>
      <c r="AQ4" s="672">
        <f t="shared" si="0"/>
        <v>2022</v>
      </c>
    </row>
    <row r="5" spans="1:45" customFormat="1" ht="13.35" customHeight="1">
      <c r="A5" s="111" t="s">
        <v>47</v>
      </c>
      <c r="B5" s="109"/>
      <c r="C5" s="109"/>
      <c r="D5" s="109"/>
      <c r="E5" s="110" t="s">
        <v>5</v>
      </c>
      <c r="F5" s="108"/>
      <c r="G5" s="108"/>
      <c r="H5" s="131">
        <v>43860</v>
      </c>
      <c r="I5" s="132">
        <f>EOMONTH(H5,1)</f>
        <v>43890</v>
      </c>
      <c r="J5" s="132">
        <f t="shared" ref="J5:AQ5" si="1">EOMONTH(I5,1)</f>
        <v>43921</v>
      </c>
      <c r="K5" s="132">
        <f t="shared" si="1"/>
        <v>43951</v>
      </c>
      <c r="L5" s="132">
        <f t="shared" si="1"/>
        <v>43982</v>
      </c>
      <c r="M5" s="132">
        <f t="shared" si="1"/>
        <v>44012</v>
      </c>
      <c r="N5" s="132">
        <f t="shared" si="1"/>
        <v>44043</v>
      </c>
      <c r="O5" s="132">
        <f t="shared" si="1"/>
        <v>44074</v>
      </c>
      <c r="P5" s="132">
        <f t="shared" si="1"/>
        <v>44104</v>
      </c>
      <c r="Q5" s="132">
        <f t="shared" si="1"/>
        <v>44135</v>
      </c>
      <c r="R5" s="132">
        <f t="shared" si="1"/>
        <v>44165</v>
      </c>
      <c r="S5" s="132">
        <f t="shared" si="1"/>
        <v>44196</v>
      </c>
      <c r="T5" s="132">
        <f t="shared" si="1"/>
        <v>44227</v>
      </c>
      <c r="U5" s="132">
        <f t="shared" si="1"/>
        <v>44255</v>
      </c>
      <c r="V5" s="132">
        <f t="shared" si="1"/>
        <v>44286</v>
      </c>
      <c r="W5" s="132">
        <f t="shared" si="1"/>
        <v>44316</v>
      </c>
      <c r="X5" s="132">
        <f t="shared" si="1"/>
        <v>44347</v>
      </c>
      <c r="Y5" s="132">
        <f t="shared" si="1"/>
        <v>44377</v>
      </c>
      <c r="Z5" s="132">
        <f t="shared" si="1"/>
        <v>44408</v>
      </c>
      <c r="AA5" s="132">
        <f t="shared" si="1"/>
        <v>44439</v>
      </c>
      <c r="AB5" s="132">
        <f t="shared" si="1"/>
        <v>44469</v>
      </c>
      <c r="AC5" s="132">
        <f t="shared" si="1"/>
        <v>44500</v>
      </c>
      <c r="AD5" s="132">
        <f t="shared" si="1"/>
        <v>44530</v>
      </c>
      <c r="AE5" s="132">
        <f t="shared" si="1"/>
        <v>44561</v>
      </c>
      <c r="AF5" s="132">
        <f t="shared" si="1"/>
        <v>44592</v>
      </c>
      <c r="AG5" s="132">
        <f t="shared" si="1"/>
        <v>44620</v>
      </c>
      <c r="AH5" s="132">
        <f t="shared" si="1"/>
        <v>44651</v>
      </c>
      <c r="AI5" s="132">
        <f t="shared" si="1"/>
        <v>44681</v>
      </c>
      <c r="AJ5" s="132">
        <f t="shared" si="1"/>
        <v>44712</v>
      </c>
      <c r="AK5" s="132">
        <f t="shared" si="1"/>
        <v>44742</v>
      </c>
      <c r="AL5" s="132">
        <f t="shared" si="1"/>
        <v>44773</v>
      </c>
      <c r="AM5" s="132">
        <f t="shared" si="1"/>
        <v>44804</v>
      </c>
      <c r="AN5" s="132">
        <f t="shared" si="1"/>
        <v>44834</v>
      </c>
      <c r="AO5" s="132">
        <f t="shared" si="1"/>
        <v>44865</v>
      </c>
      <c r="AP5" s="132">
        <f t="shared" si="1"/>
        <v>44895</v>
      </c>
      <c r="AQ5" s="132">
        <f t="shared" si="1"/>
        <v>44926</v>
      </c>
    </row>
    <row r="6" spans="1:45" customFormat="1" ht="13.35" customHeight="1">
      <c r="E6" s="438"/>
      <c r="F6" s="438"/>
      <c r="G6" s="438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</row>
    <row r="7" spans="1:45" customFormat="1" ht="13.35" customHeight="1">
      <c r="B7" s="583" t="s">
        <v>318</v>
      </c>
      <c r="E7" s="438"/>
      <c r="F7" s="438"/>
      <c r="G7" s="438"/>
      <c r="H7" s="678">
        <f>'Monthly P&amp;L'!F$7</f>
        <v>0</v>
      </c>
      <c r="I7" s="678">
        <f>'Monthly P&amp;L'!G$7</f>
        <v>0</v>
      </c>
      <c r="J7" s="678">
        <f>'Monthly P&amp;L'!H$7</f>
        <v>100</v>
      </c>
      <c r="K7" s="678">
        <f>'Monthly P&amp;L'!I$7</f>
        <v>100</v>
      </c>
      <c r="L7" s="678">
        <f>'Monthly P&amp;L'!J$7</f>
        <v>100</v>
      </c>
      <c r="M7" s="678">
        <f>'Monthly P&amp;L'!K$7</f>
        <v>100</v>
      </c>
      <c r="N7" s="678">
        <f>'Monthly P&amp;L'!L$7</f>
        <v>100</v>
      </c>
      <c r="O7" s="678">
        <f>'Monthly P&amp;L'!M$7</f>
        <v>100</v>
      </c>
      <c r="P7" s="678">
        <f>'Monthly P&amp;L'!N$7</f>
        <v>100</v>
      </c>
      <c r="Q7" s="678">
        <f>'Monthly P&amp;L'!O$7</f>
        <v>100</v>
      </c>
      <c r="R7" s="678">
        <f>'Monthly P&amp;L'!P$7</f>
        <v>100</v>
      </c>
      <c r="S7" s="678">
        <f>'Monthly P&amp;L'!Q$7</f>
        <v>100</v>
      </c>
      <c r="T7" s="678">
        <f>'Monthly P&amp;L'!R$7</f>
        <v>250</v>
      </c>
      <c r="U7" s="678">
        <f>'Monthly P&amp;L'!S$7</f>
        <v>250</v>
      </c>
      <c r="V7" s="678">
        <f>'Monthly P&amp;L'!T$7</f>
        <v>250</v>
      </c>
      <c r="W7" s="678">
        <f>'Monthly P&amp;L'!U$7</f>
        <v>250</v>
      </c>
      <c r="X7" s="678">
        <f>'Monthly P&amp;L'!V$7</f>
        <v>250</v>
      </c>
      <c r="Y7" s="678">
        <f>'Monthly P&amp;L'!W$7</f>
        <v>250</v>
      </c>
      <c r="Z7" s="678">
        <f>'Monthly P&amp;L'!X$7</f>
        <v>250</v>
      </c>
      <c r="AA7" s="678">
        <f>'Monthly P&amp;L'!Y$7</f>
        <v>250</v>
      </c>
      <c r="AB7" s="678">
        <f>'Monthly P&amp;L'!Z$7</f>
        <v>250</v>
      </c>
      <c r="AC7" s="678">
        <f>'Monthly P&amp;L'!AA$7</f>
        <v>250</v>
      </c>
      <c r="AD7" s="678">
        <f>'Monthly P&amp;L'!AB$7</f>
        <v>250</v>
      </c>
      <c r="AE7" s="678">
        <f>'Monthly P&amp;L'!AC$7</f>
        <v>250</v>
      </c>
      <c r="AF7" s="678">
        <f>'Monthly P&amp;L'!AD$7</f>
        <v>500</v>
      </c>
      <c r="AG7" s="678">
        <f>'Monthly P&amp;L'!AE$7</f>
        <v>500</v>
      </c>
      <c r="AH7" s="678">
        <f>'Monthly P&amp;L'!AF$7</f>
        <v>500</v>
      </c>
      <c r="AI7" s="678">
        <f>'Monthly P&amp;L'!AG$7</f>
        <v>500</v>
      </c>
      <c r="AJ7" s="678">
        <f>'Monthly P&amp;L'!AH$7</f>
        <v>500</v>
      </c>
      <c r="AK7" s="678">
        <f>'Monthly P&amp;L'!AI$7</f>
        <v>500</v>
      </c>
      <c r="AL7" s="678">
        <f>'Monthly P&amp;L'!AJ$7</f>
        <v>500</v>
      </c>
      <c r="AM7" s="678">
        <f>'Monthly P&amp;L'!AK$7</f>
        <v>500</v>
      </c>
      <c r="AN7" s="678">
        <f>'Monthly P&amp;L'!AL$7</f>
        <v>500</v>
      </c>
      <c r="AO7" s="678">
        <f>'Monthly P&amp;L'!AM$7</f>
        <v>500</v>
      </c>
      <c r="AP7" s="678">
        <f>'Monthly P&amp;L'!AN$7</f>
        <v>500</v>
      </c>
      <c r="AQ7" s="678">
        <f>'Monthly P&amp;L'!AO$7</f>
        <v>500</v>
      </c>
    </row>
    <row r="8" spans="1:45" s="111" customFormat="1" ht="15">
      <c r="A8" s="111" t="s">
        <v>47</v>
      </c>
      <c r="B8" s="583" t="s">
        <v>407</v>
      </c>
      <c r="C8" s="219"/>
      <c r="D8" s="219"/>
      <c r="E8" s="122"/>
      <c r="F8" s="122"/>
      <c r="G8" s="451"/>
      <c r="H8" s="678">
        <f>'Monthly P&amp;L'!F$8</f>
        <v>1200</v>
      </c>
      <c r="I8" s="678">
        <f>'Monthly P&amp;L'!G$8</f>
        <v>1200</v>
      </c>
      <c r="J8" s="678">
        <f>'Monthly P&amp;L'!H$8</f>
        <v>1300</v>
      </c>
      <c r="K8" s="678">
        <f>'Monthly P&amp;L'!I$8</f>
        <v>1400</v>
      </c>
      <c r="L8" s="678">
        <f>'Monthly P&amp;L'!J$8</f>
        <v>1500</v>
      </c>
      <c r="M8" s="678">
        <f>'Monthly P&amp;L'!K$8</f>
        <v>1600</v>
      </c>
      <c r="N8" s="678">
        <f>'Monthly P&amp;L'!L$8</f>
        <v>1700</v>
      </c>
      <c r="O8" s="678">
        <f>'Monthly P&amp;L'!M$8</f>
        <v>1800</v>
      </c>
      <c r="P8" s="678">
        <f>'Monthly P&amp;L'!N$8</f>
        <v>1900</v>
      </c>
      <c r="Q8" s="678">
        <f>'Monthly P&amp;L'!O$8</f>
        <v>2000</v>
      </c>
      <c r="R8" s="678">
        <f>'Monthly P&amp;L'!P$8</f>
        <v>2100</v>
      </c>
      <c r="S8" s="678">
        <f>'Monthly P&amp;L'!Q$8</f>
        <v>2200</v>
      </c>
      <c r="T8" s="678">
        <f>'Monthly P&amp;L'!R$8</f>
        <v>2450</v>
      </c>
      <c r="U8" s="678">
        <f>'Monthly P&amp;L'!S$8</f>
        <v>2700</v>
      </c>
      <c r="V8" s="678">
        <f>'Monthly P&amp;L'!T$8</f>
        <v>2950</v>
      </c>
      <c r="W8" s="678">
        <f>'Monthly P&amp;L'!U$8</f>
        <v>3200</v>
      </c>
      <c r="X8" s="678">
        <f>'Monthly P&amp;L'!V$8</f>
        <v>3450</v>
      </c>
      <c r="Y8" s="678">
        <f>'Monthly P&amp;L'!W$8</f>
        <v>3700</v>
      </c>
      <c r="Z8" s="678">
        <f>'Monthly P&amp;L'!X$8</f>
        <v>3950</v>
      </c>
      <c r="AA8" s="678">
        <f>'Monthly P&amp;L'!Y$8</f>
        <v>4200</v>
      </c>
      <c r="AB8" s="678">
        <f>'Monthly P&amp;L'!Z$8</f>
        <v>4450</v>
      </c>
      <c r="AC8" s="678">
        <f>'Monthly P&amp;L'!AA$8</f>
        <v>4700</v>
      </c>
      <c r="AD8" s="678">
        <f>'Monthly P&amp;L'!AB$8</f>
        <v>4950</v>
      </c>
      <c r="AE8" s="678">
        <f>'Monthly P&amp;L'!AC$8</f>
        <v>5200</v>
      </c>
      <c r="AF8" s="678">
        <f>'Monthly P&amp;L'!AD$8</f>
        <v>5700</v>
      </c>
      <c r="AG8" s="678">
        <f>'Monthly P&amp;L'!AE$8</f>
        <v>6200</v>
      </c>
      <c r="AH8" s="678">
        <f>'Monthly P&amp;L'!AF$8</f>
        <v>6700</v>
      </c>
      <c r="AI8" s="678">
        <f>'Monthly P&amp;L'!AG$8</f>
        <v>7200</v>
      </c>
      <c r="AJ8" s="678">
        <f>'Monthly P&amp;L'!AH$8</f>
        <v>7700</v>
      </c>
      <c r="AK8" s="678">
        <f>'Monthly P&amp;L'!AI$8</f>
        <v>8200</v>
      </c>
      <c r="AL8" s="678">
        <f>'Monthly P&amp;L'!AJ$8</f>
        <v>8700</v>
      </c>
      <c r="AM8" s="678">
        <f>'Monthly P&amp;L'!AK$8</f>
        <v>9200</v>
      </c>
      <c r="AN8" s="678">
        <f>'Monthly P&amp;L'!AL$8</f>
        <v>9700</v>
      </c>
      <c r="AO8" s="678">
        <f>'Monthly P&amp;L'!AM$8</f>
        <v>10200</v>
      </c>
      <c r="AP8" s="678">
        <f>'Monthly P&amp;L'!AN$8</f>
        <v>10700</v>
      </c>
      <c r="AQ8" s="678">
        <f>'Monthly P&amp;L'!AO$8</f>
        <v>11200</v>
      </c>
      <c r="AR8"/>
      <c r="AS8"/>
    </row>
    <row r="9" spans="1:45" s="111" customFormat="1" ht="15">
      <c r="B9" s="583" t="s">
        <v>421</v>
      </c>
      <c r="C9" s="219"/>
      <c r="D9" s="219"/>
      <c r="E9" s="122"/>
      <c r="F9" s="122"/>
      <c r="G9" s="451"/>
      <c r="H9" s="678">
        <f>'Monthly P&amp;L'!F$24</f>
        <v>0</v>
      </c>
      <c r="I9" s="678">
        <f>'Monthly P&amp;L'!G$24</f>
        <v>0</v>
      </c>
      <c r="J9" s="678">
        <f>'Monthly P&amp;L'!H$24</f>
        <v>0</v>
      </c>
      <c r="K9" s="678">
        <f>'Monthly P&amp;L'!I$24</f>
        <v>0</v>
      </c>
      <c r="L9" s="678">
        <f>'Monthly P&amp;L'!J$24</f>
        <v>0</v>
      </c>
      <c r="M9" s="678">
        <f>'Monthly P&amp;L'!K$24</f>
        <v>2</v>
      </c>
      <c r="N9" s="678">
        <f>'Monthly P&amp;L'!L$24</f>
        <v>4</v>
      </c>
      <c r="O9" s="678">
        <f>'Monthly P&amp;L'!M$24</f>
        <v>6</v>
      </c>
      <c r="P9" s="678">
        <f>'Monthly P&amp;L'!N$24</f>
        <v>8.0749999999999993</v>
      </c>
      <c r="Q9" s="678">
        <f>'Monthly P&amp;L'!O$24</f>
        <v>10.074999999999999</v>
      </c>
      <c r="R9" s="678">
        <f>'Monthly P&amp;L'!P$24</f>
        <v>12.074999999999999</v>
      </c>
      <c r="S9" s="678">
        <f>'Monthly P&amp;L'!Q$24</f>
        <v>14.074999999999999</v>
      </c>
      <c r="T9" s="678">
        <f>'Monthly P&amp;L'!R$24</f>
        <v>27.074999999999999</v>
      </c>
      <c r="U9" s="678">
        <f>'Monthly P&amp;L'!S$24</f>
        <v>40.075000000000003</v>
      </c>
      <c r="V9" s="678">
        <f>'Monthly P&amp;L'!T$24</f>
        <v>53.075000000000003</v>
      </c>
      <c r="W9" s="678">
        <f>'Monthly P&amp;L'!U$24</f>
        <v>67.075000000000003</v>
      </c>
      <c r="X9" s="678">
        <f>'Monthly P&amp;L'!V$24</f>
        <v>81.075000000000003</v>
      </c>
      <c r="Y9" s="678">
        <f>'Monthly P&amp;L'!W$24</f>
        <v>95.075000000000003</v>
      </c>
      <c r="Z9" s="678">
        <f>'Monthly P&amp;L'!X$24</f>
        <v>109.075</v>
      </c>
      <c r="AA9" s="678">
        <f>'Monthly P&amp;L'!Y$24</f>
        <v>123.075</v>
      </c>
      <c r="AB9" s="678">
        <f>'Monthly P&amp;L'!Z$24</f>
        <v>137.07499999999999</v>
      </c>
      <c r="AC9" s="678">
        <f>'Monthly P&amp;L'!AA$24</f>
        <v>151.07499999999999</v>
      </c>
      <c r="AD9" s="678">
        <f>'Monthly P&amp;L'!AB$24</f>
        <v>166.07499999999999</v>
      </c>
      <c r="AE9" s="678">
        <f>'Monthly P&amp;L'!AC$24</f>
        <v>181.07499999999999</v>
      </c>
      <c r="AF9" s="678">
        <f>'Monthly P&amp;L'!AD$24</f>
        <v>236.07499999999999</v>
      </c>
      <c r="AG9" s="678">
        <f>'Monthly P&amp;L'!AE$24</f>
        <v>291.07499999999999</v>
      </c>
      <c r="AH9" s="678">
        <f>'Monthly P&amp;L'!AF$24</f>
        <v>347.07499999999999</v>
      </c>
      <c r="AI9" s="678">
        <f>'Monthly P&amp;L'!AG$24</f>
        <v>403.07499999999999</v>
      </c>
      <c r="AJ9" s="678">
        <f>'Monthly P&amp;L'!AH$24</f>
        <v>460.07499999999999</v>
      </c>
      <c r="AK9" s="678">
        <f>'Monthly P&amp;L'!AI$24</f>
        <v>517.07500000000005</v>
      </c>
      <c r="AL9" s="678">
        <f>'Monthly P&amp;L'!AJ$24</f>
        <v>575.07500000000005</v>
      </c>
      <c r="AM9" s="678">
        <f>'Monthly P&amp;L'!AK$24</f>
        <v>633.07500000000005</v>
      </c>
      <c r="AN9" s="678">
        <f>'Monthly P&amp;L'!AL$24</f>
        <v>692.07500000000005</v>
      </c>
      <c r="AO9" s="678">
        <f>'Monthly P&amp;L'!AM$24</f>
        <v>751.07500000000005</v>
      </c>
      <c r="AP9" s="678">
        <f>'Monthly P&amp;L'!AN$24</f>
        <v>811.07500000000005</v>
      </c>
      <c r="AQ9" s="678">
        <f>'Monthly P&amp;L'!AO$24</f>
        <v>871.07500000000005</v>
      </c>
      <c r="AR9"/>
      <c r="AS9"/>
    </row>
    <row r="10" spans="1:45" s="111" customFormat="1" ht="15">
      <c r="B10" s="583" t="s">
        <v>175</v>
      </c>
      <c r="C10" s="219"/>
      <c r="D10" s="219"/>
      <c r="E10" s="122"/>
      <c r="F10" s="122"/>
      <c r="G10" s="451"/>
      <c r="H10" s="678">
        <f>'Monthly P&amp;L'!F11</f>
        <v>0</v>
      </c>
      <c r="I10" s="678">
        <f>'Monthly P&amp;L'!G11</f>
        <v>0</v>
      </c>
      <c r="J10" s="678">
        <f>'Monthly P&amp;L'!H11</f>
        <v>0</v>
      </c>
      <c r="K10" s="678">
        <f>'Monthly P&amp;L'!I11</f>
        <v>0</v>
      </c>
      <c r="L10" s="678">
        <f>'Monthly P&amp;L'!J11</f>
        <v>0</v>
      </c>
      <c r="M10" s="678">
        <f>'Monthly P&amp;L'!K11</f>
        <v>1</v>
      </c>
      <c r="N10" s="678">
        <f>'Monthly P&amp;L'!L11</f>
        <v>3</v>
      </c>
      <c r="O10" s="678">
        <f>'Monthly P&amp;L'!M11</f>
        <v>3</v>
      </c>
      <c r="P10" s="678">
        <f>'Monthly P&amp;L'!N11</f>
        <v>7</v>
      </c>
      <c r="Q10" s="678">
        <f>'Monthly P&amp;L'!O11</f>
        <v>7</v>
      </c>
      <c r="R10" s="678">
        <f>'Monthly P&amp;L'!P11</f>
        <v>6</v>
      </c>
      <c r="S10" s="678">
        <f>'Monthly P&amp;L'!Q11</f>
        <v>3</v>
      </c>
      <c r="T10" s="678">
        <f>'Monthly P&amp;L'!R11</f>
        <v>13</v>
      </c>
      <c r="U10" s="678">
        <f>'Monthly P&amp;L'!S11</f>
        <v>13</v>
      </c>
      <c r="V10" s="678">
        <f>'Monthly P&amp;L'!T11</f>
        <v>13</v>
      </c>
      <c r="W10" s="678">
        <f>'Monthly P&amp;L'!U11</f>
        <v>13</v>
      </c>
      <c r="X10" s="678">
        <f>'Monthly P&amp;L'!V11</f>
        <v>13</v>
      </c>
      <c r="Y10" s="678">
        <f>'Monthly P&amp;L'!W11</f>
        <v>13</v>
      </c>
      <c r="Z10" s="678">
        <f>'Monthly P&amp;L'!X11</f>
        <v>13</v>
      </c>
      <c r="AA10" s="678">
        <f>'Monthly P&amp;L'!Y11</f>
        <v>13</v>
      </c>
      <c r="AB10" s="678">
        <f>'Monthly P&amp;L'!Z11</f>
        <v>13</v>
      </c>
      <c r="AC10" s="678">
        <f>'Monthly P&amp;L'!AA11</f>
        <v>13</v>
      </c>
      <c r="AD10" s="678">
        <f>'Monthly P&amp;L'!AB11</f>
        <v>13</v>
      </c>
      <c r="AE10" s="678">
        <f>'Monthly P&amp;L'!AC11</f>
        <v>13</v>
      </c>
      <c r="AF10" s="678">
        <f>'Monthly P&amp;L'!AD11</f>
        <v>35</v>
      </c>
      <c r="AG10" s="678">
        <f>'Monthly P&amp;L'!AE11</f>
        <v>35</v>
      </c>
      <c r="AH10" s="678">
        <f>'Monthly P&amp;L'!AF11</f>
        <v>35</v>
      </c>
      <c r="AI10" s="678">
        <f>'Monthly P&amp;L'!AG11</f>
        <v>35</v>
      </c>
      <c r="AJ10" s="678">
        <f>'Monthly P&amp;L'!AH11</f>
        <v>35</v>
      </c>
      <c r="AK10" s="678">
        <f>'Monthly P&amp;L'!AI11</f>
        <v>35</v>
      </c>
      <c r="AL10" s="678">
        <f>'Monthly P&amp;L'!AJ11</f>
        <v>35</v>
      </c>
      <c r="AM10" s="678">
        <f>'Monthly P&amp;L'!AK11</f>
        <v>35</v>
      </c>
      <c r="AN10" s="678">
        <f>'Monthly P&amp;L'!AL11</f>
        <v>35</v>
      </c>
      <c r="AO10" s="678">
        <f>'Monthly P&amp;L'!AM11</f>
        <v>35</v>
      </c>
      <c r="AP10" s="678">
        <f>'Monthly P&amp;L'!AN11</f>
        <v>35</v>
      </c>
      <c r="AQ10" s="678">
        <f>'Monthly P&amp;L'!AO11</f>
        <v>35</v>
      </c>
      <c r="AR10"/>
      <c r="AS10"/>
    </row>
    <row r="11" spans="1:45" s="111" customFormat="1" ht="15">
      <c r="B11" s="583" t="s">
        <v>411</v>
      </c>
      <c r="C11" s="219"/>
      <c r="D11" s="219"/>
      <c r="E11" s="677">
        <v>1.4999999999999999E-2</v>
      </c>
      <c r="F11" s="122"/>
      <c r="G11" s="451"/>
      <c r="H11" s="678">
        <f>'Monthly P&amp;L'!F13*$E$11</f>
        <v>0</v>
      </c>
      <c r="I11" s="678">
        <f>'Monthly P&amp;L'!G13*$E$11</f>
        <v>0</v>
      </c>
      <c r="J11" s="678">
        <f>'Monthly P&amp;L'!H13*$E$11</f>
        <v>1.039421067796612</v>
      </c>
      <c r="K11" s="678">
        <f>'Monthly P&amp;L'!I13*$E$11</f>
        <v>1.039421067796612</v>
      </c>
      <c r="L11" s="678">
        <f>'Monthly P&amp;L'!J13*$E$11</f>
        <v>1.039421067796612</v>
      </c>
      <c r="M11" s="678">
        <f>'Monthly P&amp;L'!K13*$E$11</f>
        <v>1.156370220338985</v>
      </c>
      <c r="N11" s="678">
        <f>'Monthly P&amp;L'!L13*$E$11</f>
        <v>2.1309464915254277</v>
      </c>
      <c r="O11" s="678">
        <f>'Monthly P&amp;L'!M13*$E$11</f>
        <v>2.6572176779661065</v>
      </c>
      <c r="P11" s="678">
        <f>'Monthly P&amp;L'!N13*$E$11</f>
        <v>4.2165397118644146</v>
      </c>
      <c r="Q11" s="678">
        <f>'Monthly P&amp;L'!O13*$E$11</f>
        <v>4.918234627118653</v>
      </c>
      <c r="R11" s="678">
        <f>'Monthly P&amp;L'!P13*$E$11</f>
        <v>5.3275566610169589</v>
      </c>
      <c r="S11" s="678">
        <f>'Monthly P&amp;L'!Q13*$E$11</f>
        <v>5.4445058135593323</v>
      </c>
      <c r="T11" s="678">
        <f>'Monthly P&amp;L'!R13*$E$11</f>
        <v>6.4580651355932321</v>
      </c>
      <c r="U11" s="678">
        <f>'Monthly P&amp;L'!S13*$E$11</f>
        <v>7.4716244576271329</v>
      </c>
      <c r="V11" s="678">
        <f>'Monthly P&amp;L'!T13*$E$11</f>
        <v>8.4851837796610319</v>
      </c>
      <c r="W11" s="678">
        <f>'Monthly P&amp;L'!U13*$E$11</f>
        <v>9.4987431016949326</v>
      </c>
      <c r="X11" s="678">
        <f>'Monthly P&amp;L'!V13*$E$11</f>
        <v>10.512302423728833</v>
      </c>
      <c r="Y11" s="678">
        <f>'Monthly P&amp;L'!W13*$E$11</f>
        <v>11.525861745762732</v>
      </c>
      <c r="Z11" s="678">
        <f>'Monthly P&amp;L'!X13*$E$11</f>
        <v>12.539421067796633</v>
      </c>
      <c r="AA11" s="678">
        <f>'Monthly P&amp;L'!Y13*$E$11</f>
        <v>13.552980389830532</v>
      </c>
      <c r="AB11" s="678">
        <f>'Monthly P&amp;L'!Z13*$E$11</f>
        <v>14.566539711864433</v>
      </c>
      <c r="AC11" s="678">
        <f>'Monthly P&amp;L'!AA13*$E$11</f>
        <v>15.580099033898335</v>
      </c>
      <c r="AD11" s="678">
        <f>'Monthly P&amp;L'!AB13*$E$11</f>
        <v>16.593658355932234</v>
      </c>
      <c r="AE11" s="678">
        <f>'Monthly P&amp;L'!AC13*$E$11</f>
        <v>17.607217677966133</v>
      </c>
      <c r="AF11" s="678">
        <f>'Monthly P&amp;L'!AD13*$E$11</f>
        <v>21.700438016949192</v>
      </c>
      <c r="AG11" s="678">
        <f>'Monthly P&amp;L'!AE13*$E$11</f>
        <v>25.793658355932251</v>
      </c>
      <c r="AH11" s="678">
        <f>'Monthly P&amp;L'!AF13*$E$11</f>
        <v>29.886878694915307</v>
      </c>
      <c r="AI11" s="678">
        <f>'Monthly P&amp;L'!AG13*$E$11</f>
        <v>33.980099033898369</v>
      </c>
      <c r="AJ11" s="678">
        <f>'Monthly P&amp;L'!AH13*$E$11</f>
        <v>38.073319372881429</v>
      </c>
      <c r="AK11" s="678">
        <f>'Monthly P&amp;L'!AI13*$E$11</f>
        <v>42.166539711864488</v>
      </c>
      <c r="AL11" s="678">
        <f>'Monthly P&amp;L'!AJ13*$E$11</f>
        <v>46.226256457627201</v>
      </c>
      <c r="AM11" s="678">
        <f>'Monthly P&amp;L'!AK13*$E$11</f>
        <v>50.31947679661026</v>
      </c>
      <c r="AN11" s="678">
        <f>'Monthly P&amp;L'!AL13*$E$11</f>
        <v>54.36188038983061</v>
      </c>
      <c r="AO11" s="678">
        <f>'Monthly P&amp;L'!AM13*$E$11</f>
        <v>58.455100728813669</v>
      </c>
      <c r="AP11" s="678">
        <f>'Monthly P&amp;L'!AN13*$E$11</f>
        <v>62.548321067796728</v>
      </c>
      <c r="AQ11" s="678">
        <f>'Monthly P&amp;L'!AO13*$E$11</f>
        <v>66.64154140677978</v>
      </c>
      <c r="AR11"/>
      <c r="AS11"/>
    </row>
    <row r="12" spans="1:45" s="111" customFormat="1" ht="15">
      <c r="B12" s="583" t="s">
        <v>419</v>
      </c>
      <c r="C12" s="219"/>
      <c r="D12" s="219"/>
      <c r="E12" s="679"/>
      <c r="F12" s="122"/>
      <c r="G12" s="451"/>
      <c r="H12" s="678">
        <f>'Monthly P&amp;L'!F20</f>
        <v>2666341</v>
      </c>
      <c r="I12" s="678">
        <f>'Monthly P&amp;L'!G20</f>
        <v>2666341</v>
      </c>
      <c r="J12" s="678">
        <f>'Monthly P&amp;L'!H20</f>
        <v>2666341</v>
      </c>
      <c r="K12" s="678">
        <f>'Monthly P&amp;L'!I20</f>
        <v>2666341</v>
      </c>
      <c r="L12" s="678">
        <f>'Monthly P&amp;L'!J20</f>
        <v>2666341</v>
      </c>
      <c r="M12" s="678">
        <f>'Monthly P&amp;L'!K20</f>
        <v>2966341</v>
      </c>
      <c r="N12" s="678">
        <f>'Monthly P&amp;L'!L20</f>
        <v>5466341</v>
      </c>
      <c r="O12" s="678">
        <f>'Monthly P&amp;L'!M20</f>
        <v>6816341</v>
      </c>
      <c r="P12" s="678">
        <f>'Monthly P&amp;L'!N20</f>
        <v>10816341</v>
      </c>
      <c r="Q12" s="678">
        <f>'Monthly P&amp;L'!O20</f>
        <v>12616341</v>
      </c>
      <c r="R12" s="678">
        <f>'Monthly P&amp;L'!P20</f>
        <v>13666341</v>
      </c>
      <c r="S12" s="678">
        <f>'Monthly P&amp;L'!Q20</f>
        <v>13966341</v>
      </c>
      <c r="T12" s="678">
        <f>'Monthly P&amp;L'!R20</f>
        <v>16566341</v>
      </c>
      <c r="U12" s="678">
        <f>'Monthly P&amp;L'!S20</f>
        <v>19166341</v>
      </c>
      <c r="V12" s="678">
        <f>'Monthly P&amp;L'!T20</f>
        <v>21766341</v>
      </c>
      <c r="W12" s="678">
        <f>'Monthly P&amp;L'!U20</f>
        <v>24366341</v>
      </c>
      <c r="X12" s="678">
        <f>'Monthly P&amp;L'!V20</f>
        <v>26966341</v>
      </c>
      <c r="Y12" s="678">
        <f>'Monthly P&amp;L'!W20</f>
        <v>29566341</v>
      </c>
      <c r="Z12" s="678">
        <f>'Monthly P&amp;L'!X20</f>
        <v>32166341</v>
      </c>
      <c r="AA12" s="678">
        <f>'Monthly P&amp;L'!Y20</f>
        <v>34766341</v>
      </c>
      <c r="AB12" s="678">
        <f>'Monthly P&amp;L'!Z20</f>
        <v>37366341</v>
      </c>
      <c r="AC12" s="678">
        <f>'Monthly P&amp;L'!AA20</f>
        <v>39966341</v>
      </c>
      <c r="AD12" s="678">
        <f>'Monthly P&amp;L'!AB20</f>
        <v>42566341</v>
      </c>
      <c r="AE12" s="678">
        <f>'Monthly P&amp;L'!AC20</f>
        <v>45166341</v>
      </c>
      <c r="AF12" s="678">
        <f>'Monthly P&amp;L'!AD20</f>
        <v>55666341</v>
      </c>
      <c r="AG12" s="678">
        <f>'Monthly P&amp;L'!AE20</f>
        <v>66166341</v>
      </c>
      <c r="AH12" s="678">
        <f>'Monthly P&amp;L'!AF20</f>
        <v>76666341</v>
      </c>
      <c r="AI12" s="678">
        <f>'Monthly P&amp;L'!AG20</f>
        <v>87166341</v>
      </c>
      <c r="AJ12" s="678">
        <f>'Monthly P&amp;L'!AH20</f>
        <v>97666341</v>
      </c>
      <c r="AK12" s="678">
        <f>'Monthly P&amp;L'!AI20</f>
        <v>108166341</v>
      </c>
      <c r="AL12" s="678">
        <f>'Monthly P&amp;L'!AJ20</f>
        <v>118580397</v>
      </c>
      <c r="AM12" s="678">
        <f>'Monthly P&amp;L'!AK20</f>
        <v>129080397</v>
      </c>
      <c r="AN12" s="678">
        <f>'Monthly P&amp;L'!AL20</f>
        <v>139450041</v>
      </c>
      <c r="AO12" s="678">
        <f>'Monthly P&amp;L'!AM20</f>
        <v>149950041</v>
      </c>
      <c r="AP12" s="678">
        <f>'Monthly P&amp;L'!AN20</f>
        <v>160450041</v>
      </c>
      <c r="AQ12" s="678">
        <f>'Monthly P&amp;L'!AO20</f>
        <v>170950041</v>
      </c>
      <c r="AR12"/>
      <c r="AS12"/>
    </row>
    <row r="13" spans="1:45" customFormat="1" ht="13.35" customHeight="1">
      <c r="E13" s="438"/>
      <c r="F13" s="438"/>
      <c r="G13" s="438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</row>
    <row r="14" spans="1:45" s="46" customFormat="1" ht="13.35" customHeight="1">
      <c r="B14" s="373" t="s">
        <v>192</v>
      </c>
      <c r="E14" s="636">
        <f>'Model Drivers'!$G$38</f>
        <v>0.05</v>
      </c>
      <c r="F14" s="487"/>
      <c r="G14" s="440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AR14"/>
      <c r="AS14"/>
    </row>
    <row r="15" spans="1:45" customFormat="1" ht="13.35" customHeight="1">
      <c r="E15" s="438"/>
      <c r="F15" s="486"/>
      <c r="G15" s="438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</row>
    <row r="16" spans="1:45" s="46" customFormat="1" ht="13.35" customHeight="1">
      <c r="A16" s="46" t="s">
        <v>47</v>
      </c>
      <c r="B16" s="18" t="s">
        <v>203</v>
      </c>
      <c r="C16" s="18"/>
      <c r="D16" s="18"/>
      <c r="E16" s="112"/>
      <c r="F16" s="188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AR16"/>
      <c r="AS16"/>
    </row>
    <row r="17" spans="1:45" s="46" customFormat="1" ht="13.35" customHeight="1">
      <c r="B17" s="18"/>
      <c r="C17" s="18"/>
      <c r="D17" s="18"/>
      <c r="E17" s="112"/>
      <c r="F17" s="188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AR17"/>
      <c r="AS17"/>
    </row>
    <row r="18" spans="1:45" s="46" customFormat="1" ht="13.35" customHeight="1">
      <c r="B18" s="46" t="s">
        <v>61</v>
      </c>
      <c r="E18" s="628" t="s">
        <v>398</v>
      </c>
      <c r="F18" s="629"/>
      <c r="G18" s="630"/>
      <c r="H18" s="114">
        <f t="shared" ref="H18:AQ18" si="2">SUM(H20:H28)</f>
        <v>0</v>
      </c>
      <c r="I18" s="114">
        <f t="shared" si="2"/>
        <v>0</v>
      </c>
      <c r="J18" s="114">
        <f t="shared" si="2"/>
        <v>0</v>
      </c>
      <c r="K18" s="114">
        <f t="shared" si="2"/>
        <v>0</v>
      </c>
      <c r="L18" s="114">
        <f t="shared" si="2"/>
        <v>1</v>
      </c>
      <c r="M18" s="114">
        <f t="shared" si="2"/>
        <v>1</v>
      </c>
      <c r="N18" s="114">
        <f t="shared" si="2"/>
        <v>1</v>
      </c>
      <c r="O18" s="114">
        <f t="shared" si="2"/>
        <v>1</v>
      </c>
      <c r="P18" s="114">
        <f t="shared" si="2"/>
        <v>2</v>
      </c>
      <c r="Q18" s="114">
        <f t="shared" si="2"/>
        <v>2</v>
      </c>
      <c r="R18" s="114">
        <f t="shared" si="2"/>
        <v>2</v>
      </c>
      <c r="S18" s="114">
        <f t="shared" si="2"/>
        <v>2</v>
      </c>
      <c r="T18" s="114">
        <f t="shared" si="2"/>
        <v>3</v>
      </c>
      <c r="U18" s="114">
        <f t="shared" si="2"/>
        <v>3</v>
      </c>
      <c r="V18" s="114">
        <f t="shared" si="2"/>
        <v>3</v>
      </c>
      <c r="W18" s="114">
        <f t="shared" si="2"/>
        <v>3</v>
      </c>
      <c r="X18" s="114">
        <f t="shared" si="2"/>
        <v>3</v>
      </c>
      <c r="Y18" s="114">
        <f t="shared" si="2"/>
        <v>3</v>
      </c>
      <c r="Z18" s="114">
        <f t="shared" si="2"/>
        <v>3</v>
      </c>
      <c r="AA18" s="114">
        <f t="shared" si="2"/>
        <v>3</v>
      </c>
      <c r="AB18" s="114">
        <f t="shared" si="2"/>
        <v>3</v>
      </c>
      <c r="AC18" s="114">
        <f t="shared" si="2"/>
        <v>3</v>
      </c>
      <c r="AD18" s="114">
        <f t="shared" si="2"/>
        <v>3</v>
      </c>
      <c r="AE18" s="114">
        <f t="shared" si="2"/>
        <v>3</v>
      </c>
      <c r="AF18" s="114">
        <f t="shared" si="2"/>
        <v>3</v>
      </c>
      <c r="AG18" s="114">
        <f t="shared" si="2"/>
        <v>3</v>
      </c>
      <c r="AH18" s="114">
        <f t="shared" si="2"/>
        <v>3</v>
      </c>
      <c r="AI18" s="114">
        <f t="shared" si="2"/>
        <v>3</v>
      </c>
      <c r="AJ18" s="114">
        <f t="shared" si="2"/>
        <v>3</v>
      </c>
      <c r="AK18" s="114">
        <f t="shared" si="2"/>
        <v>3</v>
      </c>
      <c r="AL18" s="114">
        <f t="shared" si="2"/>
        <v>3</v>
      </c>
      <c r="AM18" s="114">
        <f t="shared" si="2"/>
        <v>3</v>
      </c>
      <c r="AN18" s="114">
        <f t="shared" si="2"/>
        <v>3</v>
      </c>
      <c r="AO18" s="114">
        <f t="shared" si="2"/>
        <v>3</v>
      </c>
      <c r="AP18" s="114">
        <f t="shared" si="2"/>
        <v>3</v>
      </c>
      <c r="AQ18" s="114">
        <f t="shared" si="2"/>
        <v>3</v>
      </c>
      <c r="AR18"/>
      <c r="AS18"/>
    </row>
    <row r="19" spans="1:45" s="46" customFormat="1" ht="13.35" customHeight="1">
      <c r="E19" s="119">
        <v>2020</v>
      </c>
      <c r="F19" s="193">
        <v>2021</v>
      </c>
      <c r="G19" s="193">
        <v>2022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AR19"/>
      <c r="AS19"/>
    </row>
    <row r="20" spans="1:45" s="46" customFormat="1" ht="13.35" customHeight="1">
      <c r="B20" s="46" t="s">
        <v>223</v>
      </c>
      <c r="C20"/>
      <c r="D20"/>
      <c r="E20" s="212">
        <v>130000</v>
      </c>
      <c r="F20" s="627">
        <f>E20*(1+$E$14)</f>
        <v>136500</v>
      </c>
      <c r="G20" s="627">
        <f>F20*(1+$E$14)</f>
        <v>143325</v>
      </c>
      <c r="H20" s="612">
        <v>0</v>
      </c>
      <c r="I20" s="612">
        <v>0</v>
      </c>
      <c r="J20" s="612">
        <v>0</v>
      </c>
      <c r="K20" s="612">
        <v>0</v>
      </c>
      <c r="L20" s="612">
        <v>1</v>
      </c>
      <c r="M20" s="511">
        <f t="shared" ref="M20:S20" si="3">L20</f>
        <v>1</v>
      </c>
      <c r="N20" s="511">
        <f t="shared" si="3"/>
        <v>1</v>
      </c>
      <c r="O20" s="511">
        <f t="shared" si="3"/>
        <v>1</v>
      </c>
      <c r="P20" s="511">
        <f t="shared" si="3"/>
        <v>1</v>
      </c>
      <c r="Q20" s="511">
        <f t="shared" si="3"/>
        <v>1</v>
      </c>
      <c r="R20" s="511">
        <f t="shared" si="3"/>
        <v>1</v>
      </c>
      <c r="S20" s="511">
        <f t="shared" si="3"/>
        <v>1</v>
      </c>
      <c r="T20" s="479">
        <f t="shared" ref="T20:T22" si="4">S20</f>
        <v>1</v>
      </c>
      <c r="U20" s="479">
        <f t="shared" ref="U20:U22" si="5">T20</f>
        <v>1</v>
      </c>
      <c r="V20" s="479">
        <f t="shared" ref="V20:V22" si="6">U20</f>
        <v>1</v>
      </c>
      <c r="W20" s="479">
        <f t="shared" ref="W20:W22" si="7">V20</f>
        <v>1</v>
      </c>
      <c r="X20" s="479">
        <f t="shared" ref="X20:X22" si="8">W20</f>
        <v>1</v>
      </c>
      <c r="Y20" s="479">
        <f t="shared" ref="Y20:Y22" si="9">X20</f>
        <v>1</v>
      </c>
      <c r="Z20" s="479">
        <f t="shared" ref="Z20:Z22" si="10">Y20</f>
        <v>1</v>
      </c>
      <c r="AA20" s="479">
        <f t="shared" ref="AA20:AA22" si="11">Z20</f>
        <v>1</v>
      </c>
      <c r="AB20" s="479">
        <f t="shared" ref="AB20:AB22" si="12">AA20</f>
        <v>1</v>
      </c>
      <c r="AC20" s="479">
        <f t="shared" ref="AC20:AC22" si="13">AB20</f>
        <v>1</v>
      </c>
      <c r="AD20" s="479">
        <f t="shared" ref="AD20:AD22" si="14">AC20</f>
        <v>1</v>
      </c>
      <c r="AE20" s="479">
        <f t="shared" ref="AE20:AE22" si="15">AD20</f>
        <v>1</v>
      </c>
      <c r="AF20" s="479">
        <f t="shared" ref="AF20:AF22" si="16">AE20</f>
        <v>1</v>
      </c>
      <c r="AG20" s="479">
        <f t="shared" ref="AG20:AG22" si="17">AF20</f>
        <v>1</v>
      </c>
      <c r="AH20" s="479">
        <f t="shared" ref="AH20:AH22" si="18">AG20</f>
        <v>1</v>
      </c>
      <c r="AI20" s="479">
        <f t="shared" ref="AI20:AI22" si="19">AH20</f>
        <v>1</v>
      </c>
      <c r="AJ20" s="479">
        <f t="shared" ref="AJ20:AJ22" si="20">AI20</f>
        <v>1</v>
      </c>
      <c r="AK20" s="479">
        <f t="shared" ref="AK20:AK22" si="21">AJ20</f>
        <v>1</v>
      </c>
      <c r="AL20" s="479">
        <f t="shared" ref="AL20:AL22" si="22">AK20</f>
        <v>1</v>
      </c>
      <c r="AM20" s="479">
        <f t="shared" ref="AM20:AM22" si="23">AL20</f>
        <v>1</v>
      </c>
      <c r="AN20" s="479">
        <f t="shared" ref="AN20:AN22" si="24">AM20</f>
        <v>1</v>
      </c>
      <c r="AO20" s="479">
        <f t="shared" ref="AO20:AO22" si="25">AN20</f>
        <v>1</v>
      </c>
      <c r="AP20" s="479">
        <f t="shared" ref="AP20:AP22" si="26">AO20</f>
        <v>1</v>
      </c>
      <c r="AQ20" s="479">
        <f t="shared" ref="AQ20:AQ22" si="27">AP20</f>
        <v>1</v>
      </c>
      <c r="AR20"/>
      <c r="AS20"/>
    </row>
    <row r="21" spans="1:45" s="46" customFormat="1" ht="13.35" customHeight="1">
      <c r="B21" s="46" t="s">
        <v>390</v>
      </c>
      <c r="C21"/>
      <c r="D21"/>
      <c r="E21" s="212">
        <v>130000</v>
      </c>
      <c r="F21" s="627">
        <f t="shared" ref="F21:G21" si="28">E21*(1+$E$14)</f>
        <v>136500</v>
      </c>
      <c r="G21" s="627">
        <f t="shared" si="28"/>
        <v>143325</v>
      </c>
      <c r="H21" s="612">
        <v>0</v>
      </c>
      <c r="I21" s="612">
        <v>0</v>
      </c>
      <c r="J21" s="612">
        <v>0</v>
      </c>
      <c r="K21" s="612">
        <v>0</v>
      </c>
      <c r="L21" s="612">
        <v>0</v>
      </c>
      <c r="M21" s="612">
        <v>0</v>
      </c>
      <c r="N21" s="612">
        <v>0</v>
      </c>
      <c r="O21" s="612">
        <v>0</v>
      </c>
      <c r="P21" s="612">
        <v>0</v>
      </c>
      <c r="Q21" s="612">
        <v>0</v>
      </c>
      <c r="R21" s="612">
        <v>0</v>
      </c>
      <c r="S21" s="612">
        <v>0</v>
      </c>
      <c r="T21" s="612">
        <v>1</v>
      </c>
      <c r="U21" s="479">
        <f t="shared" si="5"/>
        <v>1</v>
      </c>
      <c r="V21" s="479">
        <f t="shared" si="6"/>
        <v>1</v>
      </c>
      <c r="W21" s="479">
        <f t="shared" si="7"/>
        <v>1</v>
      </c>
      <c r="X21" s="479">
        <f t="shared" si="8"/>
        <v>1</v>
      </c>
      <c r="Y21" s="479">
        <f t="shared" si="9"/>
        <v>1</v>
      </c>
      <c r="Z21" s="479">
        <f t="shared" si="10"/>
        <v>1</v>
      </c>
      <c r="AA21" s="479">
        <f t="shared" si="11"/>
        <v>1</v>
      </c>
      <c r="AB21" s="479">
        <f t="shared" si="12"/>
        <v>1</v>
      </c>
      <c r="AC21" s="479">
        <f t="shared" si="13"/>
        <v>1</v>
      </c>
      <c r="AD21" s="479">
        <f t="shared" si="14"/>
        <v>1</v>
      </c>
      <c r="AE21" s="479">
        <f t="shared" si="15"/>
        <v>1</v>
      </c>
      <c r="AF21" s="479">
        <f t="shared" si="16"/>
        <v>1</v>
      </c>
      <c r="AG21" s="479">
        <f t="shared" si="17"/>
        <v>1</v>
      </c>
      <c r="AH21" s="479">
        <f t="shared" si="18"/>
        <v>1</v>
      </c>
      <c r="AI21" s="479">
        <f t="shared" si="19"/>
        <v>1</v>
      </c>
      <c r="AJ21" s="479">
        <f t="shared" si="20"/>
        <v>1</v>
      </c>
      <c r="AK21" s="479">
        <f t="shared" si="21"/>
        <v>1</v>
      </c>
      <c r="AL21" s="479">
        <f t="shared" si="22"/>
        <v>1</v>
      </c>
      <c r="AM21" s="479">
        <f t="shared" si="23"/>
        <v>1</v>
      </c>
      <c r="AN21" s="479">
        <f t="shared" si="24"/>
        <v>1</v>
      </c>
      <c r="AO21" s="479">
        <f t="shared" si="25"/>
        <v>1</v>
      </c>
      <c r="AP21" s="479">
        <f t="shared" si="26"/>
        <v>1</v>
      </c>
      <c r="AQ21" s="479">
        <f t="shared" si="27"/>
        <v>1</v>
      </c>
      <c r="AR21"/>
      <c r="AS21"/>
    </row>
    <row r="22" spans="1:45" s="46" customFormat="1" ht="13.35" customHeight="1">
      <c r="B22" s="46" t="s">
        <v>391</v>
      </c>
      <c r="C22"/>
      <c r="D22"/>
      <c r="E22" s="212">
        <v>130000</v>
      </c>
      <c r="F22" s="627">
        <f t="shared" ref="F22:G22" si="29">E22*(1+$E$14)</f>
        <v>136500</v>
      </c>
      <c r="G22" s="627">
        <f t="shared" si="29"/>
        <v>143325</v>
      </c>
      <c r="H22" s="612">
        <v>0</v>
      </c>
      <c r="I22" s="612">
        <v>0</v>
      </c>
      <c r="J22" s="612">
        <v>0</v>
      </c>
      <c r="K22" s="612">
        <v>0</v>
      </c>
      <c r="L22" s="612">
        <v>0</v>
      </c>
      <c r="M22" s="612">
        <v>0</v>
      </c>
      <c r="N22" s="612">
        <v>0</v>
      </c>
      <c r="O22" s="612">
        <v>0</v>
      </c>
      <c r="P22" s="612">
        <v>1</v>
      </c>
      <c r="Q22" s="511">
        <f t="shared" ref="Q22:S22" si="30">P22</f>
        <v>1</v>
      </c>
      <c r="R22" s="511">
        <f t="shared" si="30"/>
        <v>1</v>
      </c>
      <c r="S22" s="511">
        <f t="shared" si="30"/>
        <v>1</v>
      </c>
      <c r="T22" s="479">
        <f t="shared" si="4"/>
        <v>1</v>
      </c>
      <c r="U22" s="479">
        <f t="shared" si="5"/>
        <v>1</v>
      </c>
      <c r="V22" s="479">
        <f t="shared" si="6"/>
        <v>1</v>
      </c>
      <c r="W22" s="479">
        <f t="shared" si="7"/>
        <v>1</v>
      </c>
      <c r="X22" s="479">
        <f t="shared" si="8"/>
        <v>1</v>
      </c>
      <c r="Y22" s="479">
        <f t="shared" si="9"/>
        <v>1</v>
      </c>
      <c r="Z22" s="479">
        <f t="shared" si="10"/>
        <v>1</v>
      </c>
      <c r="AA22" s="479">
        <f t="shared" si="11"/>
        <v>1</v>
      </c>
      <c r="AB22" s="479">
        <f t="shared" si="12"/>
        <v>1</v>
      </c>
      <c r="AC22" s="479">
        <f t="shared" si="13"/>
        <v>1</v>
      </c>
      <c r="AD22" s="479">
        <f t="shared" si="14"/>
        <v>1</v>
      </c>
      <c r="AE22" s="479">
        <f t="shared" si="15"/>
        <v>1</v>
      </c>
      <c r="AF22" s="479">
        <f t="shared" si="16"/>
        <v>1</v>
      </c>
      <c r="AG22" s="479">
        <f t="shared" si="17"/>
        <v>1</v>
      </c>
      <c r="AH22" s="479">
        <f t="shared" si="18"/>
        <v>1</v>
      </c>
      <c r="AI22" s="479">
        <f t="shared" si="19"/>
        <v>1</v>
      </c>
      <c r="AJ22" s="479">
        <f t="shared" si="20"/>
        <v>1</v>
      </c>
      <c r="AK22" s="479">
        <f t="shared" si="21"/>
        <v>1</v>
      </c>
      <c r="AL22" s="479">
        <f t="shared" si="22"/>
        <v>1</v>
      </c>
      <c r="AM22" s="479">
        <f t="shared" si="23"/>
        <v>1</v>
      </c>
      <c r="AN22" s="479">
        <f t="shared" si="24"/>
        <v>1</v>
      </c>
      <c r="AO22" s="479">
        <f t="shared" si="25"/>
        <v>1</v>
      </c>
      <c r="AP22" s="479">
        <f t="shared" si="26"/>
        <v>1</v>
      </c>
      <c r="AQ22" s="479">
        <f t="shared" si="27"/>
        <v>1</v>
      </c>
      <c r="AR22"/>
      <c r="AS22"/>
    </row>
    <row r="23" spans="1:45" s="46" customFormat="1" ht="13.35" customHeight="1">
      <c r="B23" s="46" t="s">
        <v>211</v>
      </c>
      <c r="C23"/>
      <c r="D23"/>
      <c r="E23" s="212"/>
      <c r="F23" s="212"/>
      <c r="G23" s="212"/>
      <c r="H23" s="612">
        <v>0</v>
      </c>
      <c r="I23" s="612">
        <v>0</v>
      </c>
      <c r="J23" s="612">
        <v>0</v>
      </c>
      <c r="K23" s="612">
        <v>0</v>
      </c>
      <c r="L23" s="612">
        <v>0</v>
      </c>
      <c r="M23" s="612">
        <v>0</v>
      </c>
      <c r="N23" s="612">
        <v>0</v>
      </c>
      <c r="O23" s="612">
        <v>0</v>
      </c>
      <c r="P23" s="612">
        <v>0</v>
      </c>
      <c r="Q23" s="612">
        <v>0</v>
      </c>
      <c r="R23" s="612">
        <v>0</v>
      </c>
      <c r="S23" s="612">
        <v>0</v>
      </c>
      <c r="T23" s="612">
        <v>0</v>
      </c>
      <c r="U23" s="612">
        <v>0</v>
      </c>
      <c r="V23" s="612">
        <v>0</v>
      </c>
      <c r="W23" s="612">
        <v>0</v>
      </c>
      <c r="X23" s="612">
        <v>0</v>
      </c>
      <c r="Y23" s="612">
        <v>0</v>
      </c>
      <c r="Z23" s="612">
        <v>0</v>
      </c>
      <c r="AA23" s="612">
        <v>0</v>
      </c>
      <c r="AB23" s="612">
        <v>0</v>
      </c>
      <c r="AC23" s="612">
        <v>0</v>
      </c>
      <c r="AD23" s="612">
        <v>0</v>
      </c>
      <c r="AE23" s="612">
        <v>0</v>
      </c>
      <c r="AF23" s="612">
        <v>0</v>
      </c>
      <c r="AG23" s="612">
        <v>0</v>
      </c>
      <c r="AH23" s="612">
        <v>0</v>
      </c>
      <c r="AI23" s="612">
        <v>0</v>
      </c>
      <c r="AJ23" s="612">
        <v>0</v>
      </c>
      <c r="AK23" s="612">
        <v>0</v>
      </c>
      <c r="AL23" s="612">
        <v>0</v>
      </c>
      <c r="AM23" s="612">
        <v>0</v>
      </c>
      <c r="AN23" s="612">
        <v>0</v>
      </c>
      <c r="AO23" s="612">
        <v>0</v>
      </c>
      <c r="AP23" s="612">
        <v>0</v>
      </c>
      <c r="AQ23" s="612">
        <v>0</v>
      </c>
      <c r="AR23"/>
      <c r="AS23"/>
    </row>
    <row r="24" spans="1:45" s="46" customFormat="1" ht="13.35" customHeight="1">
      <c r="B24" s="46" t="s">
        <v>211</v>
      </c>
      <c r="C24"/>
      <c r="D24"/>
      <c r="E24" s="212"/>
      <c r="F24" s="212"/>
      <c r="G24" s="212"/>
      <c r="H24" s="612">
        <v>0</v>
      </c>
      <c r="I24" s="612">
        <v>0</v>
      </c>
      <c r="J24" s="612">
        <v>0</v>
      </c>
      <c r="K24" s="612">
        <v>0</v>
      </c>
      <c r="L24" s="612">
        <v>0</v>
      </c>
      <c r="M24" s="612">
        <v>0</v>
      </c>
      <c r="N24" s="612">
        <v>0</v>
      </c>
      <c r="O24" s="612">
        <v>0</v>
      </c>
      <c r="P24" s="612">
        <v>0</v>
      </c>
      <c r="Q24" s="612">
        <v>0</v>
      </c>
      <c r="R24" s="612">
        <v>0</v>
      </c>
      <c r="S24" s="612">
        <v>0</v>
      </c>
      <c r="T24" s="612">
        <v>0</v>
      </c>
      <c r="U24" s="612">
        <v>0</v>
      </c>
      <c r="V24" s="612">
        <v>0</v>
      </c>
      <c r="W24" s="612">
        <v>0</v>
      </c>
      <c r="X24" s="612">
        <v>0</v>
      </c>
      <c r="Y24" s="612">
        <v>0</v>
      </c>
      <c r="Z24" s="612">
        <v>0</v>
      </c>
      <c r="AA24" s="612">
        <v>0</v>
      </c>
      <c r="AB24" s="612">
        <v>0</v>
      </c>
      <c r="AC24" s="612">
        <v>0</v>
      </c>
      <c r="AD24" s="612">
        <v>0</v>
      </c>
      <c r="AE24" s="612">
        <v>0</v>
      </c>
      <c r="AF24" s="612">
        <v>0</v>
      </c>
      <c r="AG24" s="612">
        <v>0</v>
      </c>
      <c r="AH24" s="612">
        <v>0</v>
      </c>
      <c r="AI24" s="612">
        <v>0</v>
      </c>
      <c r="AJ24" s="612">
        <v>0</v>
      </c>
      <c r="AK24" s="612">
        <v>0</v>
      </c>
      <c r="AL24" s="612">
        <v>0</v>
      </c>
      <c r="AM24" s="612">
        <v>0</v>
      </c>
      <c r="AN24" s="612">
        <v>0</v>
      </c>
      <c r="AO24" s="612">
        <v>0</v>
      </c>
      <c r="AP24" s="612">
        <v>0</v>
      </c>
      <c r="AQ24" s="612">
        <v>0</v>
      </c>
      <c r="AR24"/>
      <c r="AS24"/>
    </row>
    <row r="25" spans="1:45" s="46" customFormat="1" ht="13.35" customHeight="1">
      <c r="B25" s="46" t="s">
        <v>211</v>
      </c>
      <c r="C25"/>
      <c r="D25"/>
      <c r="E25" s="212"/>
      <c r="F25" s="212"/>
      <c r="G25" s="212"/>
      <c r="H25" s="612">
        <v>0</v>
      </c>
      <c r="I25" s="612">
        <v>0</v>
      </c>
      <c r="J25" s="612">
        <v>0</v>
      </c>
      <c r="K25" s="612">
        <v>0</v>
      </c>
      <c r="L25" s="612">
        <v>0</v>
      </c>
      <c r="M25" s="612">
        <v>0</v>
      </c>
      <c r="N25" s="612"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T25" s="612">
        <v>0</v>
      </c>
      <c r="U25" s="612">
        <v>0</v>
      </c>
      <c r="V25" s="612">
        <v>0</v>
      </c>
      <c r="W25" s="612">
        <v>0</v>
      </c>
      <c r="X25" s="612">
        <v>0</v>
      </c>
      <c r="Y25" s="612">
        <v>0</v>
      </c>
      <c r="Z25" s="612">
        <v>0</v>
      </c>
      <c r="AA25" s="612">
        <v>0</v>
      </c>
      <c r="AB25" s="612">
        <v>0</v>
      </c>
      <c r="AC25" s="612">
        <v>0</v>
      </c>
      <c r="AD25" s="612">
        <v>0</v>
      </c>
      <c r="AE25" s="612">
        <v>0</v>
      </c>
      <c r="AF25" s="612">
        <v>0</v>
      </c>
      <c r="AG25" s="612">
        <v>0</v>
      </c>
      <c r="AH25" s="612">
        <v>0</v>
      </c>
      <c r="AI25" s="612">
        <v>0</v>
      </c>
      <c r="AJ25" s="612">
        <v>0</v>
      </c>
      <c r="AK25" s="612">
        <v>0</v>
      </c>
      <c r="AL25" s="612">
        <v>0</v>
      </c>
      <c r="AM25" s="612">
        <v>0</v>
      </c>
      <c r="AN25" s="612">
        <v>0</v>
      </c>
      <c r="AO25" s="612">
        <v>0</v>
      </c>
      <c r="AP25" s="612">
        <v>0</v>
      </c>
      <c r="AQ25" s="612">
        <v>0</v>
      </c>
      <c r="AR25"/>
      <c r="AS25"/>
    </row>
    <row r="26" spans="1:45" s="46" customFormat="1" ht="13.35" customHeight="1">
      <c r="B26" s="46" t="s">
        <v>211</v>
      </c>
      <c r="C26"/>
      <c r="D26"/>
      <c r="E26" s="212"/>
      <c r="F26" s="212"/>
      <c r="G26" s="212"/>
      <c r="H26" s="612">
        <v>0</v>
      </c>
      <c r="I26" s="612">
        <v>0</v>
      </c>
      <c r="J26" s="612">
        <v>0</v>
      </c>
      <c r="K26" s="612">
        <v>0</v>
      </c>
      <c r="L26" s="612">
        <v>0</v>
      </c>
      <c r="M26" s="612">
        <v>0</v>
      </c>
      <c r="N26" s="612">
        <v>0</v>
      </c>
      <c r="O26" s="612">
        <v>0</v>
      </c>
      <c r="P26" s="612">
        <v>0</v>
      </c>
      <c r="Q26" s="612">
        <v>0</v>
      </c>
      <c r="R26" s="612">
        <v>0</v>
      </c>
      <c r="S26" s="612">
        <v>0</v>
      </c>
      <c r="T26" s="612">
        <v>0</v>
      </c>
      <c r="U26" s="612">
        <v>0</v>
      </c>
      <c r="V26" s="612">
        <v>0</v>
      </c>
      <c r="W26" s="612">
        <v>0</v>
      </c>
      <c r="X26" s="612">
        <v>0</v>
      </c>
      <c r="Y26" s="612">
        <v>0</v>
      </c>
      <c r="Z26" s="612">
        <v>0</v>
      </c>
      <c r="AA26" s="612">
        <v>0</v>
      </c>
      <c r="AB26" s="612">
        <v>0</v>
      </c>
      <c r="AC26" s="612">
        <v>0</v>
      </c>
      <c r="AD26" s="612">
        <v>0</v>
      </c>
      <c r="AE26" s="612">
        <v>0</v>
      </c>
      <c r="AF26" s="612">
        <v>0</v>
      </c>
      <c r="AG26" s="612">
        <v>0</v>
      </c>
      <c r="AH26" s="612">
        <v>0</v>
      </c>
      <c r="AI26" s="612">
        <v>0</v>
      </c>
      <c r="AJ26" s="612">
        <v>0</v>
      </c>
      <c r="AK26" s="612">
        <v>0</v>
      </c>
      <c r="AL26" s="612">
        <v>0</v>
      </c>
      <c r="AM26" s="612">
        <v>0</v>
      </c>
      <c r="AN26" s="612">
        <v>0</v>
      </c>
      <c r="AO26" s="612">
        <v>0</v>
      </c>
      <c r="AP26" s="612">
        <v>0</v>
      </c>
      <c r="AQ26" s="612">
        <v>0</v>
      </c>
      <c r="AR26"/>
      <c r="AS26"/>
    </row>
    <row r="27" spans="1:45" s="46" customFormat="1" ht="13.35" customHeight="1">
      <c r="B27" s="46" t="s">
        <v>211</v>
      </c>
      <c r="C27"/>
      <c r="D27"/>
      <c r="E27" s="212"/>
      <c r="F27" s="212"/>
      <c r="G27" s="212"/>
      <c r="H27" s="612">
        <v>0</v>
      </c>
      <c r="I27" s="612">
        <v>0</v>
      </c>
      <c r="J27" s="612">
        <v>0</v>
      </c>
      <c r="K27" s="612">
        <v>0</v>
      </c>
      <c r="L27" s="612">
        <v>0</v>
      </c>
      <c r="M27" s="612">
        <v>0</v>
      </c>
      <c r="N27" s="612">
        <v>0</v>
      </c>
      <c r="O27" s="612">
        <v>0</v>
      </c>
      <c r="P27" s="612">
        <v>0</v>
      </c>
      <c r="Q27" s="612">
        <v>0</v>
      </c>
      <c r="R27" s="612">
        <v>0</v>
      </c>
      <c r="S27" s="612">
        <v>0</v>
      </c>
      <c r="T27" s="612">
        <v>0</v>
      </c>
      <c r="U27" s="612">
        <v>0</v>
      </c>
      <c r="V27" s="612">
        <v>0</v>
      </c>
      <c r="W27" s="612">
        <v>0</v>
      </c>
      <c r="X27" s="612">
        <v>0</v>
      </c>
      <c r="Y27" s="612">
        <v>0</v>
      </c>
      <c r="Z27" s="612">
        <v>0</v>
      </c>
      <c r="AA27" s="612">
        <v>0</v>
      </c>
      <c r="AB27" s="612">
        <v>0</v>
      </c>
      <c r="AC27" s="612">
        <v>0</v>
      </c>
      <c r="AD27" s="612">
        <v>0</v>
      </c>
      <c r="AE27" s="612">
        <v>0</v>
      </c>
      <c r="AF27" s="612">
        <v>0</v>
      </c>
      <c r="AG27" s="612">
        <v>0</v>
      </c>
      <c r="AH27" s="612">
        <v>0</v>
      </c>
      <c r="AI27" s="612">
        <v>0</v>
      </c>
      <c r="AJ27" s="612">
        <v>0</v>
      </c>
      <c r="AK27" s="612">
        <v>0</v>
      </c>
      <c r="AL27" s="612">
        <v>0</v>
      </c>
      <c r="AM27" s="612">
        <v>0</v>
      </c>
      <c r="AN27" s="612">
        <v>0</v>
      </c>
      <c r="AO27" s="612">
        <v>0</v>
      </c>
      <c r="AP27" s="612">
        <v>0</v>
      </c>
      <c r="AQ27" s="612">
        <v>0</v>
      </c>
      <c r="AR27"/>
      <c r="AS27"/>
    </row>
    <row r="28" spans="1:45" s="46" customFormat="1" ht="13.35" customHeight="1">
      <c r="B28" s="46" t="s">
        <v>211</v>
      </c>
      <c r="C28"/>
      <c r="D28"/>
      <c r="E28" s="215"/>
      <c r="F28" s="215"/>
      <c r="G28" s="215"/>
      <c r="H28" s="612">
        <v>0</v>
      </c>
      <c r="I28" s="612">
        <v>0</v>
      </c>
      <c r="J28" s="612">
        <v>0</v>
      </c>
      <c r="K28" s="612">
        <v>0</v>
      </c>
      <c r="L28" s="612">
        <v>0</v>
      </c>
      <c r="M28" s="612">
        <v>0</v>
      </c>
      <c r="N28" s="612">
        <v>0</v>
      </c>
      <c r="O28" s="612">
        <v>0</v>
      </c>
      <c r="P28" s="612">
        <v>0</v>
      </c>
      <c r="Q28" s="612">
        <v>0</v>
      </c>
      <c r="R28" s="612">
        <v>0</v>
      </c>
      <c r="S28" s="612">
        <v>0</v>
      </c>
      <c r="T28" s="612">
        <v>0</v>
      </c>
      <c r="U28" s="612">
        <v>0</v>
      </c>
      <c r="V28" s="612">
        <v>0</v>
      </c>
      <c r="W28" s="612">
        <v>0</v>
      </c>
      <c r="X28" s="612">
        <v>0</v>
      </c>
      <c r="Y28" s="612">
        <v>0</v>
      </c>
      <c r="Z28" s="612">
        <v>0</v>
      </c>
      <c r="AA28" s="612">
        <v>0</v>
      </c>
      <c r="AB28" s="612">
        <v>0</v>
      </c>
      <c r="AC28" s="612">
        <v>0</v>
      </c>
      <c r="AD28" s="612">
        <v>0</v>
      </c>
      <c r="AE28" s="612">
        <v>0</v>
      </c>
      <c r="AF28" s="612">
        <v>0</v>
      </c>
      <c r="AG28" s="612">
        <v>0</v>
      </c>
      <c r="AH28" s="612">
        <v>0</v>
      </c>
      <c r="AI28" s="612">
        <v>0</v>
      </c>
      <c r="AJ28" s="612">
        <v>0</v>
      </c>
      <c r="AK28" s="612">
        <v>0</v>
      </c>
      <c r="AL28" s="612">
        <v>0</v>
      </c>
      <c r="AM28" s="612">
        <v>0</v>
      </c>
      <c r="AN28" s="612">
        <v>0</v>
      </c>
      <c r="AO28" s="612">
        <v>0</v>
      </c>
      <c r="AP28" s="612">
        <v>0</v>
      </c>
      <c r="AQ28" s="612">
        <v>0</v>
      </c>
      <c r="AR28"/>
      <c r="AS28"/>
    </row>
    <row r="29" spans="1:45" s="46" customFormat="1" ht="15">
      <c r="B29" s="116" t="s">
        <v>191</v>
      </c>
      <c r="C29" s="116"/>
      <c r="D29" s="116"/>
      <c r="E29" s="117"/>
      <c r="F29" s="117"/>
      <c r="G29" s="442"/>
      <c r="H29" s="197">
        <f>IF(H$4=2020,SUMPRODUCT($E20:$E28,H20:H28)/12,IF(H$4=2021,SUMPRODUCT($F20:$F28,H20:H28)/12,IF(H$4=2022,SUMPRODUCT($G20:$G28,H20:H28)/12)))</f>
        <v>0</v>
      </c>
      <c r="I29" s="197">
        <f t="shared" ref="I29:AQ29" si="31">IF(I$4=2020,SUMPRODUCT($E20:$E28,I20:I28)/12,IF(I$4=2021,SUMPRODUCT($F20:$F28,I20:I28)/12,IF(I$4=2022,SUMPRODUCT($G20:$G28,I20:I28)/12)))</f>
        <v>0</v>
      </c>
      <c r="J29" s="197">
        <f t="shared" si="31"/>
        <v>0</v>
      </c>
      <c r="K29" s="197">
        <f t="shared" si="31"/>
        <v>0</v>
      </c>
      <c r="L29" s="197">
        <f t="shared" si="31"/>
        <v>10833.333333333334</v>
      </c>
      <c r="M29" s="197">
        <f t="shared" si="31"/>
        <v>10833.333333333334</v>
      </c>
      <c r="N29" s="197">
        <f t="shared" si="31"/>
        <v>10833.333333333334</v>
      </c>
      <c r="O29" s="197">
        <f t="shared" si="31"/>
        <v>10833.333333333334</v>
      </c>
      <c r="P29" s="197">
        <f t="shared" si="31"/>
        <v>21666.666666666668</v>
      </c>
      <c r="Q29" s="197">
        <f t="shared" si="31"/>
        <v>21666.666666666668</v>
      </c>
      <c r="R29" s="197">
        <f t="shared" si="31"/>
        <v>21666.666666666668</v>
      </c>
      <c r="S29" s="197">
        <f t="shared" si="31"/>
        <v>21666.666666666668</v>
      </c>
      <c r="T29" s="197">
        <f t="shared" si="31"/>
        <v>34125</v>
      </c>
      <c r="U29" s="197">
        <f t="shared" si="31"/>
        <v>34125</v>
      </c>
      <c r="V29" s="197">
        <f t="shared" si="31"/>
        <v>34125</v>
      </c>
      <c r="W29" s="197">
        <f t="shared" si="31"/>
        <v>34125</v>
      </c>
      <c r="X29" s="197">
        <f t="shared" si="31"/>
        <v>34125</v>
      </c>
      <c r="Y29" s="197">
        <f t="shared" si="31"/>
        <v>34125</v>
      </c>
      <c r="Z29" s="197">
        <f t="shared" si="31"/>
        <v>34125</v>
      </c>
      <c r="AA29" s="197">
        <f t="shared" si="31"/>
        <v>34125</v>
      </c>
      <c r="AB29" s="197">
        <f t="shared" si="31"/>
        <v>34125</v>
      </c>
      <c r="AC29" s="197">
        <f t="shared" si="31"/>
        <v>34125</v>
      </c>
      <c r="AD29" s="197">
        <f t="shared" si="31"/>
        <v>34125</v>
      </c>
      <c r="AE29" s="197">
        <f t="shared" si="31"/>
        <v>34125</v>
      </c>
      <c r="AF29" s="197">
        <f t="shared" si="31"/>
        <v>35831.25</v>
      </c>
      <c r="AG29" s="197">
        <f t="shared" si="31"/>
        <v>35831.25</v>
      </c>
      <c r="AH29" s="197">
        <f t="shared" si="31"/>
        <v>35831.25</v>
      </c>
      <c r="AI29" s="197">
        <f t="shared" si="31"/>
        <v>35831.25</v>
      </c>
      <c r="AJ29" s="197">
        <f t="shared" si="31"/>
        <v>35831.25</v>
      </c>
      <c r="AK29" s="197">
        <f t="shared" si="31"/>
        <v>35831.25</v>
      </c>
      <c r="AL29" s="197">
        <f t="shared" si="31"/>
        <v>35831.25</v>
      </c>
      <c r="AM29" s="197">
        <f t="shared" si="31"/>
        <v>35831.25</v>
      </c>
      <c r="AN29" s="197">
        <f t="shared" si="31"/>
        <v>35831.25</v>
      </c>
      <c r="AO29" s="197">
        <f t="shared" si="31"/>
        <v>35831.25</v>
      </c>
      <c r="AP29" s="197">
        <f t="shared" si="31"/>
        <v>35831.25</v>
      </c>
      <c r="AQ29" s="197">
        <f t="shared" si="31"/>
        <v>35831.25</v>
      </c>
    </row>
    <row r="30" spans="1:45" s="46" customFormat="1" ht="15">
      <c r="C30"/>
      <c r="E30" s="439"/>
      <c r="F30" s="439"/>
      <c r="G30" s="440"/>
      <c r="H30" s="85"/>
      <c r="I30" s="85"/>
      <c r="J30" s="85"/>
      <c r="K30" s="85"/>
      <c r="L30" s="633"/>
      <c r="M30" s="85"/>
      <c r="N30" s="85"/>
      <c r="O30" s="85"/>
      <c r="P30" s="85"/>
      <c r="Q30" s="85"/>
      <c r="R30" s="85"/>
      <c r="S30" s="633"/>
    </row>
    <row r="31" spans="1:45" s="46" customFormat="1" ht="15">
      <c r="A31" s="46" t="s">
        <v>47</v>
      </c>
      <c r="B31" s="18" t="s">
        <v>250</v>
      </c>
      <c r="C31"/>
      <c r="D31" s="118"/>
      <c r="E31" s="121"/>
      <c r="F31" s="121"/>
      <c r="G31" s="440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45" s="46" customFormat="1" ht="15">
      <c r="B32" s="18"/>
      <c r="C32" s="238"/>
      <c r="D32" s="118"/>
      <c r="E32" s="121"/>
      <c r="F32" s="121"/>
      <c r="G32" s="440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43" s="46" customFormat="1" ht="15">
      <c r="B33" s="219" t="s">
        <v>61</v>
      </c>
      <c r="C33" s="219" t="s">
        <v>415</v>
      </c>
      <c r="D33" s="446"/>
      <c r="E33" s="119"/>
      <c r="F33" s="119"/>
      <c r="G33" s="440"/>
      <c r="H33" s="120">
        <f t="shared" ref="H33:AQ33" si="32">SUM(H35:H42)</f>
        <v>2</v>
      </c>
      <c r="I33" s="120">
        <f t="shared" si="32"/>
        <v>2</v>
      </c>
      <c r="J33" s="120">
        <f t="shared" si="32"/>
        <v>2</v>
      </c>
      <c r="K33" s="120">
        <f t="shared" si="32"/>
        <v>2</v>
      </c>
      <c r="L33" s="120">
        <f t="shared" si="32"/>
        <v>2</v>
      </c>
      <c r="M33" s="120">
        <f t="shared" si="32"/>
        <v>2</v>
      </c>
      <c r="N33" s="120">
        <f t="shared" si="32"/>
        <v>2</v>
      </c>
      <c r="O33" s="120">
        <f t="shared" si="32"/>
        <v>2</v>
      </c>
      <c r="P33" s="120">
        <f t="shared" si="32"/>
        <v>3</v>
      </c>
      <c r="Q33" s="120">
        <f t="shared" si="32"/>
        <v>3</v>
      </c>
      <c r="R33" s="120">
        <f t="shared" si="32"/>
        <v>3</v>
      </c>
      <c r="S33" s="120">
        <f t="shared" si="32"/>
        <v>3</v>
      </c>
      <c r="T33" s="120">
        <f t="shared" si="32"/>
        <v>6</v>
      </c>
      <c r="U33" s="120">
        <f t="shared" si="32"/>
        <v>6</v>
      </c>
      <c r="V33" s="120">
        <f t="shared" si="32"/>
        <v>6</v>
      </c>
      <c r="W33" s="120">
        <f t="shared" si="32"/>
        <v>6</v>
      </c>
      <c r="X33" s="120">
        <f t="shared" si="32"/>
        <v>6</v>
      </c>
      <c r="Y33" s="120">
        <f t="shared" si="32"/>
        <v>6</v>
      </c>
      <c r="Z33" s="120">
        <f t="shared" si="32"/>
        <v>6</v>
      </c>
      <c r="AA33" s="120">
        <f t="shared" si="32"/>
        <v>6</v>
      </c>
      <c r="AB33" s="120">
        <f t="shared" si="32"/>
        <v>6</v>
      </c>
      <c r="AC33" s="120">
        <f t="shared" si="32"/>
        <v>6</v>
      </c>
      <c r="AD33" s="120">
        <f t="shared" si="32"/>
        <v>6</v>
      </c>
      <c r="AE33" s="120">
        <f t="shared" si="32"/>
        <v>6</v>
      </c>
      <c r="AF33" s="120">
        <f t="shared" si="32"/>
        <v>12</v>
      </c>
      <c r="AG33" s="120">
        <f t="shared" si="32"/>
        <v>13</v>
      </c>
      <c r="AH33" s="120">
        <f t="shared" si="32"/>
        <v>13</v>
      </c>
      <c r="AI33" s="120">
        <f t="shared" si="32"/>
        <v>13</v>
      </c>
      <c r="AJ33" s="120">
        <f t="shared" si="32"/>
        <v>14</v>
      </c>
      <c r="AK33" s="120">
        <f t="shared" si="32"/>
        <v>14</v>
      </c>
      <c r="AL33" s="120">
        <f t="shared" si="32"/>
        <v>14</v>
      </c>
      <c r="AM33" s="120">
        <f t="shared" si="32"/>
        <v>14</v>
      </c>
      <c r="AN33" s="120">
        <f t="shared" si="32"/>
        <v>15</v>
      </c>
      <c r="AO33" s="120">
        <f t="shared" si="32"/>
        <v>15</v>
      </c>
      <c r="AP33" s="120">
        <f t="shared" si="32"/>
        <v>15</v>
      </c>
      <c r="AQ33" s="120">
        <f t="shared" si="32"/>
        <v>15</v>
      </c>
    </row>
    <row r="34" spans="1:43" s="46" customFormat="1" ht="15">
      <c r="C34" s="219" t="s">
        <v>416</v>
      </c>
      <c r="D34" s="446"/>
      <c r="E34" s="119">
        <v>2020</v>
      </c>
      <c r="F34" s="193">
        <v>2021</v>
      </c>
      <c r="G34" s="193">
        <v>2022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43" s="46" customFormat="1" ht="15">
      <c r="B35" s="46" t="s">
        <v>66</v>
      </c>
      <c r="C35" s="631">
        <f>60/12*2</f>
        <v>10</v>
      </c>
      <c r="D35" s="447"/>
      <c r="E35" s="212">
        <v>55000</v>
      </c>
      <c r="F35" s="627">
        <f>E35*(1+$E$14)</f>
        <v>57750</v>
      </c>
      <c r="G35" s="627">
        <f>F35*(1+$E$14)</f>
        <v>60637.5</v>
      </c>
      <c r="H35" s="612">
        <v>0</v>
      </c>
      <c r="I35" s="612">
        <v>0</v>
      </c>
      <c r="J35" s="511">
        <v>0</v>
      </c>
      <c r="K35" s="511">
        <v>0</v>
      </c>
      <c r="L35" s="612">
        <v>0</v>
      </c>
      <c r="M35" s="612">
        <v>0</v>
      </c>
      <c r="N35" s="612">
        <v>0</v>
      </c>
      <c r="O35" s="612">
        <v>0</v>
      </c>
      <c r="P35" s="612">
        <v>0</v>
      </c>
      <c r="Q35" s="612">
        <v>0</v>
      </c>
      <c r="R35" s="612">
        <v>0</v>
      </c>
      <c r="S35" s="612">
        <v>0</v>
      </c>
      <c r="T35" s="481">
        <f>MAX(1,ROUND(T$10/$C35,))</f>
        <v>1</v>
      </c>
      <c r="U35" s="481">
        <f t="shared" ref="U35:AQ37" si="33">MAX(1,ROUND(U$10/$C35,))</f>
        <v>1</v>
      </c>
      <c r="V35" s="481">
        <f t="shared" si="33"/>
        <v>1</v>
      </c>
      <c r="W35" s="481">
        <f t="shared" si="33"/>
        <v>1</v>
      </c>
      <c r="X35" s="481">
        <f t="shared" si="33"/>
        <v>1</v>
      </c>
      <c r="Y35" s="481">
        <f t="shared" si="33"/>
        <v>1</v>
      </c>
      <c r="Z35" s="481">
        <f t="shared" si="33"/>
        <v>1</v>
      </c>
      <c r="AA35" s="481">
        <f t="shared" si="33"/>
        <v>1</v>
      </c>
      <c r="AB35" s="481">
        <f t="shared" si="33"/>
        <v>1</v>
      </c>
      <c r="AC35" s="481">
        <f t="shared" si="33"/>
        <v>1</v>
      </c>
      <c r="AD35" s="481">
        <f t="shared" si="33"/>
        <v>1</v>
      </c>
      <c r="AE35" s="481">
        <f t="shared" si="33"/>
        <v>1</v>
      </c>
      <c r="AF35" s="481">
        <f t="shared" si="33"/>
        <v>4</v>
      </c>
      <c r="AG35" s="481">
        <f t="shared" si="33"/>
        <v>4</v>
      </c>
      <c r="AH35" s="481">
        <f t="shared" si="33"/>
        <v>4</v>
      </c>
      <c r="AI35" s="481">
        <f t="shared" si="33"/>
        <v>4</v>
      </c>
      <c r="AJ35" s="481">
        <f t="shared" si="33"/>
        <v>4</v>
      </c>
      <c r="AK35" s="481">
        <f t="shared" si="33"/>
        <v>4</v>
      </c>
      <c r="AL35" s="481">
        <f t="shared" si="33"/>
        <v>4</v>
      </c>
      <c r="AM35" s="481">
        <f t="shared" si="33"/>
        <v>4</v>
      </c>
      <c r="AN35" s="481">
        <f t="shared" si="33"/>
        <v>4</v>
      </c>
      <c r="AO35" s="481">
        <f t="shared" si="33"/>
        <v>4</v>
      </c>
      <c r="AP35" s="481">
        <f t="shared" si="33"/>
        <v>4</v>
      </c>
      <c r="AQ35" s="481">
        <f t="shared" si="33"/>
        <v>4</v>
      </c>
    </row>
    <row r="36" spans="1:43" s="46" customFormat="1" ht="15">
      <c r="B36" s="46" t="s">
        <v>422</v>
      </c>
      <c r="C36" s="85"/>
      <c r="D36" s="447"/>
      <c r="E36" s="212">
        <v>60000</v>
      </c>
      <c r="F36" s="627">
        <f t="shared" ref="F36:G36" si="34">E36*(1+$E$14)</f>
        <v>63000</v>
      </c>
      <c r="G36" s="627">
        <f t="shared" si="34"/>
        <v>66150</v>
      </c>
      <c r="H36" s="612">
        <v>1</v>
      </c>
      <c r="I36" s="511">
        <f t="shared" ref="I36:S39" si="35">H36</f>
        <v>1</v>
      </c>
      <c r="J36" s="511">
        <f t="shared" si="35"/>
        <v>1</v>
      </c>
      <c r="K36" s="511">
        <v>1</v>
      </c>
      <c r="L36" s="511">
        <f t="shared" si="35"/>
        <v>1</v>
      </c>
      <c r="M36" s="511">
        <f t="shared" si="35"/>
        <v>1</v>
      </c>
      <c r="N36" s="511">
        <f t="shared" si="35"/>
        <v>1</v>
      </c>
      <c r="O36" s="511">
        <f t="shared" si="35"/>
        <v>1</v>
      </c>
      <c r="P36" s="511">
        <f t="shared" si="35"/>
        <v>1</v>
      </c>
      <c r="Q36" s="511">
        <f t="shared" si="35"/>
        <v>1</v>
      </c>
      <c r="R36" s="511">
        <f t="shared" si="35"/>
        <v>1</v>
      </c>
      <c r="S36" s="511">
        <f t="shared" si="35"/>
        <v>1</v>
      </c>
      <c r="T36" s="479">
        <f t="shared" ref="T36" si="36">S36</f>
        <v>1</v>
      </c>
      <c r="U36" s="479">
        <f t="shared" ref="U36" si="37">T36</f>
        <v>1</v>
      </c>
      <c r="V36" s="479">
        <f t="shared" ref="V36" si="38">U36</f>
        <v>1</v>
      </c>
      <c r="W36" s="479">
        <f t="shared" ref="W36" si="39">V36</f>
        <v>1</v>
      </c>
      <c r="X36" s="479">
        <f t="shared" ref="X36" si="40">W36</f>
        <v>1</v>
      </c>
      <c r="Y36" s="479">
        <f t="shared" ref="Y36" si="41">X36</f>
        <v>1</v>
      </c>
      <c r="Z36" s="479">
        <f t="shared" ref="Z36" si="42">Y36</f>
        <v>1</v>
      </c>
      <c r="AA36" s="479">
        <f t="shared" ref="AA36" si="43">Z36</f>
        <v>1</v>
      </c>
      <c r="AB36" s="479">
        <f t="shared" ref="AB36" si="44">AA36</f>
        <v>1</v>
      </c>
      <c r="AC36" s="479">
        <f t="shared" ref="AC36" si="45">AB36</f>
        <v>1</v>
      </c>
      <c r="AD36" s="479">
        <f t="shared" ref="AD36" si="46">AC36</f>
        <v>1</v>
      </c>
      <c r="AE36" s="479">
        <f t="shared" ref="AE36" si="47">AD36</f>
        <v>1</v>
      </c>
      <c r="AF36" s="479">
        <f t="shared" ref="AF36" si="48">AE36</f>
        <v>1</v>
      </c>
      <c r="AG36" s="479">
        <f t="shared" ref="AG36" si="49">AF36</f>
        <v>1</v>
      </c>
      <c r="AH36" s="479">
        <f t="shared" ref="AH36" si="50">AG36</f>
        <v>1</v>
      </c>
      <c r="AI36" s="479">
        <f t="shared" ref="AI36" si="51">AH36</f>
        <v>1</v>
      </c>
      <c r="AJ36" s="479">
        <f t="shared" ref="AJ36" si="52">AI36</f>
        <v>1</v>
      </c>
      <c r="AK36" s="479">
        <f t="shared" ref="AK36" si="53">AJ36</f>
        <v>1</v>
      </c>
      <c r="AL36" s="479">
        <f t="shared" ref="AL36" si="54">AK36</f>
        <v>1</v>
      </c>
      <c r="AM36" s="479">
        <f t="shared" ref="AM36" si="55">AL36</f>
        <v>1</v>
      </c>
      <c r="AN36" s="479">
        <f t="shared" ref="AN36" si="56">AM36</f>
        <v>1</v>
      </c>
      <c r="AO36" s="479">
        <f t="shared" ref="AO36" si="57">AN36</f>
        <v>1</v>
      </c>
      <c r="AP36" s="479">
        <f t="shared" ref="AP36" si="58">AO36</f>
        <v>1</v>
      </c>
      <c r="AQ36" s="479">
        <f t="shared" ref="AQ36" si="59">AP36</f>
        <v>1</v>
      </c>
    </row>
    <row r="37" spans="1:43" s="46" customFormat="1" ht="15">
      <c r="B37" s="46" t="s">
        <v>271</v>
      </c>
      <c r="C37" s="631">
        <f>60/12*2</f>
        <v>10</v>
      </c>
      <c r="D37" s="447"/>
      <c r="E37" s="212">
        <v>45000</v>
      </c>
      <c r="F37" s="627">
        <f t="shared" ref="F37:G37" si="60">E37*(1+$E$14)</f>
        <v>47250</v>
      </c>
      <c r="G37" s="627">
        <f t="shared" si="60"/>
        <v>49612.5</v>
      </c>
      <c r="H37" s="612">
        <v>0</v>
      </c>
      <c r="I37" s="612">
        <v>0</v>
      </c>
      <c r="J37" s="511">
        <v>0</v>
      </c>
      <c r="K37" s="511">
        <v>0</v>
      </c>
      <c r="L37" s="612">
        <v>0</v>
      </c>
      <c r="M37" s="612">
        <v>0</v>
      </c>
      <c r="N37" s="612">
        <v>0</v>
      </c>
      <c r="O37" s="612">
        <v>0</v>
      </c>
      <c r="P37" s="612">
        <v>0</v>
      </c>
      <c r="Q37" s="612">
        <v>0</v>
      </c>
      <c r="R37" s="612">
        <v>0</v>
      </c>
      <c r="S37" s="612">
        <v>0</v>
      </c>
      <c r="T37" s="481">
        <f>MAX(1,ROUND(T$10/$C37,))</f>
        <v>1</v>
      </c>
      <c r="U37" s="481">
        <f t="shared" si="33"/>
        <v>1</v>
      </c>
      <c r="V37" s="481">
        <f t="shared" si="33"/>
        <v>1</v>
      </c>
      <c r="W37" s="481">
        <f t="shared" si="33"/>
        <v>1</v>
      </c>
      <c r="X37" s="481">
        <f t="shared" si="33"/>
        <v>1</v>
      </c>
      <c r="Y37" s="481">
        <f t="shared" si="33"/>
        <v>1</v>
      </c>
      <c r="Z37" s="481">
        <f t="shared" si="33"/>
        <v>1</v>
      </c>
      <c r="AA37" s="481">
        <f t="shared" si="33"/>
        <v>1</v>
      </c>
      <c r="AB37" s="481">
        <f t="shared" si="33"/>
        <v>1</v>
      </c>
      <c r="AC37" s="481">
        <f t="shared" si="33"/>
        <v>1</v>
      </c>
      <c r="AD37" s="481">
        <f t="shared" si="33"/>
        <v>1</v>
      </c>
      <c r="AE37" s="481">
        <f t="shared" si="33"/>
        <v>1</v>
      </c>
      <c r="AF37" s="481">
        <f t="shared" si="33"/>
        <v>4</v>
      </c>
      <c r="AG37" s="481">
        <f t="shared" si="33"/>
        <v>4</v>
      </c>
      <c r="AH37" s="481">
        <f t="shared" si="33"/>
        <v>4</v>
      </c>
      <c r="AI37" s="481">
        <f t="shared" si="33"/>
        <v>4</v>
      </c>
      <c r="AJ37" s="481">
        <f t="shared" si="33"/>
        <v>4</v>
      </c>
      <c r="AK37" s="481">
        <f t="shared" si="33"/>
        <v>4</v>
      </c>
      <c r="AL37" s="481">
        <f t="shared" si="33"/>
        <v>4</v>
      </c>
      <c r="AM37" s="481">
        <f t="shared" si="33"/>
        <v>4</v>
      </c>
      <c r="AN37" s="481">
        <f t="shared" si="33"/>
        <v>4</v>
      </c>
      <c r="AO37" s="481">
        <f t="shared" si="33"/>
        <v>4</v>
      </c>
      <c r="AP37" s="481">
        <f t="shared" si="33"/>
        <v>4</v>
      </c>
      <c r="AQ37" s="481">
        <f t="shared" si="33"/>
        <v>4</v>
      </c>
    </row>
    <row r="38" spans="1:43" s="46" customFormat="1" ht="15">
      <c r="B38" s="46" t="s">
        <v>222</v>
      </c>
      <c r="C38" s="85"/>
      <c r="D38" s="447"/>
      <c r="E38" s="212">
        <v>100000</v>
      </c>
      <c r="F38" s="627">
        <f t="shared" ref="F38:G38" si="61">E38*(1+$E$14)</f>
        <v>105000</v>
      </c>
      <c r="G38" s="627">
        <f t="shared" si="61"/>
        <v>110250</v>
      </c>
      <c r="H38" s="612">
        <v>1</v>
      </c>
      <c r="I38" s="511">
        <v>1</v>
      </c>
      <c r="J38" s="511">
        <v>1</v>
      </c>
      <c r="K38" s="511">
        <f t="shared" si="35"/>
        <v>1</v>
      </c>
      <c r="L38" s="511">
        <f t="shared" si="35"/>
        <v>1</v>
      </c>
      <c r="M38" s="511">
        <f t="shared" si="35"/>
        <v>1</v>
      </c>
      <c r="N38" s="511">
        <f t="shared" si="35"/>
        <v>1</v>
      </c>
      <c r="O38" s="511">
        <f t="shared" si="35"/>
        <v>1</v>
      </c>
      <c r="P38" s="511">
        <f t="shared" si="35"/>
        <v>1</v>
      </c>
      <c r="Q38" s="511">
        <f t="shared" si="35"/>
        <v>1</v>
      </c>
      <c r="R38" s="511">
        <f t="shared" si="35"/>
        <v>1</v>
      </c>
      <c r="S38" s="511">
        <f t="shared" si="35"/>
        <v>1</v>
      </c>
      <c r="T38" s="511">
        <f t="shared" ref="T38:T39" si="62">S38</f>
        <v>1</v>
      </c>
      <c r="U38" s="511">
        <f t="shared" ref="U38:U39" si="63">T38</f>
        <v>1</v>
      </c>
      <c r="V38" s="511">
        <f t="shared" ref="V38:V39" si="64">U38</f>
        <v>1</v>
      </c>
      <c r="W38" s="511">
        <f t="shared" ref="W38:W39" si="65">V38</f>
        <v>1</v>
      </c>
      <c r="X38" s="511">
        <f t="shared" ref="X38:X39" si="66">W38</f>
        <v>1</v>
      </c>
      <c r="Y38" s="511">
        <f t="shared" ref="Y38:Y39" si="67">X38</f>
        <v>1</v>
      </c>
      <c r="Z38" s="511">
        <f t="shared" ref="Z38:Z39" si="68">Y38</f>
        <v>1</v>
      </c>
      <c r="AA38" s="511">
        <f t="shared" ref="AA38:AA39" si="69">Z38</f>
        <v>1</v>
      </c>
      <c r="AB38" s="511">
        <f t="shared" ref="AB38:AB39" si="70">AA38</f>
        <v>1</v>
      </c>
      <c r="AC38" s="511">
        <f t="shared" ref="AC38:AC39" si="71">AB38</f>
        <v>1</v>
      </c>
      <c r="AD38" s="511">
        <f t="shared" ref="AD38:AD39" si="72">AC38</f>
        <v>1</v>
      </c>
      <c r="AE38" s="511">
        <f t="shared" ref="AE38:AE39" si="73">AD38</f>
        <v>1</v>
      </c>
      <c r="AF38" s="511">
        <f t="shared" ref="AF38:AF39" si="74">AE38</f>
        <v>1</v>
      </c>
      <c r="AG38" s="511">
        <f t="shared" ref="AG38:AG39" si="75">AF38</f>
        <v>1</v>
      </c>
      <c r="AH38" s="511">
        <f t="shared" ref="AH38:AH39" si="76">AG38</f>
        <v>1</v>
      </c>
      <c r="AI38" s="511">
        <f t="shared" ref="AI38:AI39" si="77">AH38</f>
        <v>1</v>
      </c>
      <c r="AJ38" s="511">
        <f t="shared" ref="AJ38:AJ39" si="78">AI38</f>
        <v>1</v>
      </c>
      <c r="AK38" s="511">
        <f t="shared" ref="AK38:AK39" si="79">AJ38</f>
        <v>1</v>
      </c>
      <c r="AL38" s="511">
        <f t="shared" ref="AL38:AL39" si="80">AK38</f>
        <v>1</v>
      </c>
      <c r="AM38" s="511">
        <f t="shared" ref="AM38:AM39" si="81">AL38</f>
        <v>1</v>
      </c>
      <c r="AN38" s="511">
        <f t="shared" ref="AN38:AN39" si="82">AM38</f>
        <v>1</v>
      </c>
      <c r="AO38" s="511">
        <f t="shared" ref="AO38:AO39" si="83">AN38</f>
        <v>1</v>
      </c>
      <c r="AP38" s="511">
        <f t="shared" ref="AP38:AP39" si="84">AO38</f>
        <v>1</v>
      </c>
      <c r="AQ38" s="511">
        <f t="shared" ref="AQ38:AQ39" si="85">AP38</f>
        <v>1</v>
      </c>
    </row>
    <row r="39" spans="1:43" s="46" customFormat="1" ht="15">
      <c r="B39" s="46" t="s">
        <v>413</v>
      </c>
      <c r="C39" s="584" t="s">
        <v>412</v>
      </c>
      <c r="D39" s="447"/>
      <c r="E39" s="212">
        <v>85000</v>
      </c>
      <c r="F39" s="627">
        <f t="shared" ref="F39:G39" si="86">E39*(1+$E$14)</f>
        <v>89250</v>
      </c>
      <c r="G39" s="627">
        <f t="shared" si="86"/>
        <v>93712.5</v>
      </c>
      <c r="H39" s="612">
        <v>0</v>
      </c>
      <c r="I39" s="511">
        <f t="shared" si="35"/>
        <v>0</v>
      </c>
      <c r="J39" s="511">
        <f t="shared" si="35"/>
        <v>0</v>
      </c>
      <c r="K39" s="511">
        <f t="shared" si="35"/>
        <v>0</v>
      </c>
      <c r="L39" s="612">
        <v>0</v>
      </c>
      <c r="M39" s="511">
        <f t="shared" ref="M39" si="87">L39</f>
        <v>0</v>
      </c>
      <c r="N39" s="511">
        <f t="shared" ref="N39" si="88">M39</f>
        <v>0</v>
      </c>
      <c r="O39" s="511">
        <f t="shared" ref="O39" si="89">N39</f>
        <v>0</v>
      </c>
      <c r="P39" s="612">
        <v>1</v>
      </c>
      <c r="Q39" s="511">
        <f t="shared" si="35"/>
        <v>1</v>
      </c>
      <c r="R39" s="511">
        <f t="shared" si="35"/>
        <v>1</v>
      </c>
      <c r="S39" s="511">
        <f t="shared" si="35"/>
        <v>1</v>
      </c>
      <c r="T39" s="511">
        <f t="shared" si="62"/>
        <v>1</v>
      </c>
      <c r="U39" s="511">
        <f t="shared" si="63"/>
        <v>1</v>
      </c>
      <c r="V39" s="511">
        <f t="shared" si="64"/>
        <v>1</v>
      </c>
      <c r="W39" s="511">
        <f t="shared" si="65"/>
        <v>1</v>
      </c>
      <c r="X39" s="511">
        <f t="shared" si="66"/>
        <v>1</v>
      </c>
      <c r="Y39" s="511">
        <f t="shared" si="67"/>
        <v>1</v>
      </c>
      <c r="Z39" s="511">
        <f t="shared" si="68"/>
        <v>1</v>
      </c>
      <c r="AA39" s="511">
        <f t="shared" si="69"/>
        <v>1</v>
      </c>
      <c r="AB39" s="511">
        <f t="shared" si="70"/>
        <v>1</v>
      </c>
      <c r="AC39" s="511">
        <f t="shared" si="71"/>
        <v>1</v>
      </c>
      <c r="AD39" s="511">
        <f t="shared" si="72"/>
        <v>1</v>
      </c>
      <c r="AE39" s="511">
        <f t="shared" si="73"/>
        <v>1</v>
      </c>
      <c r="AF39" s="511">
        <f t="shared" si="74"/>
        <v>1</v>
      </c>
      <c r="AG39" s="511">
        <f t="shared" si="75"/>
        <v>1</v>
      </c>
      <c r="AH39" s="511">
        <f t="shared" si="76"/>
        <v>1</v>
      </c>
      <c r="AI39" s="511">
        <f t="shared" si="77"/>
        <v>1</v>
      </c>
      <c r="AJ39" s="511">
        <f t="shared" si="78"/>
        <v>1</v>
      </c>
      <c r="AK39" s="511">
        <f t="shared" si="79"/>
        <v>1</v>
      </c>
      <c r="AL39" s="511">
        <f t="shared" si="80"/>
        <v>1</v>
      </c>
      <c r="AM39" s="511">
        <f t="shared" si="81"/>
        <v>1</v>
      </c>
      <c r="AN39" s="511">
        <f t="shared" si="82"/>
        <v>1</v>
      </c>
      <c r="AO39" s="511">
        <f t="shared" si="83"/>
        <v>1</v>
      </c>
      <c r="AP39" s="511">
        <f t="shared" si="84"/>
        <v>1</v>
      </c>
      <c r="AQ39" s="511">
        <f t="shared" si="85"/>
        <v>1</v>
      </c>
    </row>
    <row r="40" spans="1:43" s="46" customFormat="1" ht="15">
      <c r="B40" s="46" t="s">
        <v>258</v>
      </c>
      <c r="C40" s="631">
        <v>15</v>
      </c>
      <c r="D40" s="447"/>
      <c r="E40" s="212">
        <v>55000</v>
      </c>
      <c r="F40" s="627">
        <f t="shared" ref="F40:G40" si="90">E40*(1+$E$14)</f>
        <v>57750</v>
      </c>
      <c r="G40" s="627">
        <f t="shared" si="90"/>
        <v>60637.5</v>
      </c>
      <c r="H40" s="481">
        <v>0</v>
      </c>
      <c r="I40" s="481">
        <v>0</v>
      </c>
      <c r="J40" s="481">
        <v>0</v>
      </c>
      <c r="K40" s="481">
        <v>0</v>
      </c>
      <c r="L40" s="481">
        <v>0</v>
      </c>
      <c r="M40" s="481">
        <v>0</v>
      </c>
      <c r="N40" s="481">
        <v>0</v>
      </c>
      <c r="O40" s="481">
        <v>0</v>
      </c>
      <c r="P40" s="481">
        <v>0</v>
      </c>
      <c r="Q40" s="481">
        <v>0</v>
      </c>
      <c r="R40" s="481">
        <v>0</v>
      </c>
      <c r="S40" s="481">
        <v>0</v>
      </c>
      <c r="T40" s="481">
        <f>MAX(1,ROUND(T$11/$C40,))</f>
        <v>1</v>
      </c>
      <c r="U40" s="481">
        <f t="shared" ref="U40:AQ40" si="91">MAX(1,ROUND(U$11/$C40,))</f>
        <v>1</v>
      </c>
      <c r="V40" s="481">
        <f t="shared" si="91"/>
        <v>1</v>
      </c>
      <c r="W40" s="481">
        <f t="shared" si="91"/>
        <v>1</v>
      </c>
      <c r="X40" s="481">
        <f t="shared" si="91"/>
        <v>1</v>
      </c>
      <c r="Y40" s="481">
        <f t="shared" si="91"/>
        <v>1</v>
      </c>
      <c r="Z40" s="481">
        <f t="shared" si="91"/>
        <v>1</v>
      </c>
      <c r="AA40" s="481">
        <f t="shared" si="91"/>
        <v>1</v>
      </c>
      <c r="AB40" s="481">
        <f t="shared" si="91"/>
        <v>1</v>
      </c>
      <c r="AC40" s="481">
        <f t="shared" si="91"/>
        <v>1</v>
      </c>
      <c r="AD40" s="481">
        <f t="shared" si="91"/>
        <v>1</v>
      </c>
      <c r="AE40" s="481">
        <f t="shared" si="91"/>
        <v>1</v>
      </c>
      <c r="AF40" s="481">
        <f t="shared" si="91"/>
        <v>1</v>
      </c>
      <c r="AG40" s="481">
        <f t="shared" si="91"/>
        <v>2</v>
      </c>
      <c r="AH40" s="481">
        <f t="shared" si="91"/>
        <v>2</v>
      </c>
      <c r="AI40" s="481">
        <f t="shared" si="91"/>
        <v>2</v>
      </c>
      <c r="AJ40" s="481">
        <f t="shared" si="91"/>
        <v>3</v>
      </c>
      <c r="AK40" s="481">
        <f t="shared" si="91"/>
        <v>3</v>
      </c>
      <c r="AL40" s="481">
        <f t="shared" si="91"/>
        <v>3</v>
      </c>
      <c r="AM40" s="481">
        <f t="shared" si="91"/>
        <v>3</v>
      </c>
      <c r="AN40" s="481">
        <f t="shared" si="91"/>
        <v>4</v>
      </c>
      <c r="AO40" s="481">
        <f t="shared" si="91"/>
        <v>4</v>
      </c>
      <c r="AP40" s="481">
        <f t="shared" si="91"/>
        <v>4</v>
      </c>
      <c r="AQ40" s="481">
        <f t="shared" si="91"/>
        <v>4</v>
      </c>
    </row>
    <row r="41" spans="1:43" s="46" customFormat="1" ht="15">
      <c r="B41" s="46" t="s">
        <v>220</v>
      </c>
      <c r="C41" s="85"/>
      <c r="D41" s="447"/>
      <c r="E41" s="212"/>
      <c r="F41" s="212"/>
      <c r="G41" s="212"/>
      <c r="H41" s="612"/>
      <c r="I41" s="511"/>
      <c r="J41" s="511"/>
      <c r="K41" s="511"/>
      <c r="L41" s="612"/>
      <c r="M41" s="511"/>
      <c r="N41" s="511"/>
      <c r="O41" s="511"/>
      <c r="P41" s="612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</row>
    <row r="42" spans="1:43" s="46" customFormat="1" ht="15">
      <c r="B42" s="46" t="s">
        <v>220</v>
      </c>
      <c r="D42" s="190"/>
      <c r="E42" s="215"/>
      <c r="F42" s="215"/>
      <c r="G42" s="215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</row>
    <row r="43" spans="1:43" s="46" customFormat="1" ht="15">
      <c r="B43" s="116" t="s">
        <v>228</v>
      </c>
      <c r="C43" s="116"/>
      <c r="D43" s="116"/>
      <c r="E43" s="117"/>
      <c r="F43" s="117"/>
      <c r="G43" s="442"/>
      <c r="H43" s="197">
        <f>IF(H$4=2020,SUMPRODUCT($E35:$E42,H35:H42)/12,IF(H$4=2021,SUMPRODUCT($F35:$F42,H35:H42)/12,IF(H$4=2022,SUMPRODUCT($G35:$G42,H35:H42)/12)))</f>
        <v>13333.333333333334</v>
      </c>
      <c r="I43" s="197">
        <f t="shared" ref="I43:AQ43" si="92">IF(I$4=2020,SUMPRODUCT($E35:$E42,I35:I42)/12,IF(I$4=2021,SUMPRODUCT($F35:$F42,I35:I42)/12,IF(I$4=2022,SUMPRODUCT($G35:$G42,I35:I42)/12)))</f>
        <v>13333.333333333334</v>
      </c>
      <c r="J43" s="197">
        <f t="shared" si="92"/>
        <v>13333.333333333334</v>
      </c>
      <c r="K43" s="197">
        <f t="shared" si="92"/>
        <v>13333.333333333334</v>
      </c>
      <c r="L43" s="197">
        <f t="shared" si="92"/>
        <v>13333.333333333334</v>
      </c>
      <c r="M43" s="197">
        <f t="shared" si="92"/>
        <v>13333.333333333334</v>
      </c>
      <c r="N43" s="197">
        <f t="shared" si="92"/>
        <v>13333.333333333334</v>
      </c>
      <c r="O43" s="197">
        <f t="shared" si="92"/>
        <v>13333.333333333334</v>
      </c>
      <c r="P43" s="197">
        <f t="shared" si="92"/>
        <v>20416.666666666668</v>
      </c>
      <c r="Q43" s="197">
        <f t="shared" si="92"/>
        <v>20416.666666666668</v>
      </c>
      <c r="R43" s="197">
        <f t="shared" si="92"/>
        <v>20416.666666666668</v>
      </c>
      <c r="S43" s="197">
        <f t="shared" si="92"/>
        <v>20416.666666666668</v>
      </c>
      <c r="T43" s="197">
        <f t="shared" si="92"/>
        <v>35000</v>
      </c>
      <c r="U43" s="197">
        <f t="shared" si="92"/>
        <v>35000</v>
      </c>
      <c r="V43" s="197">
        <f t="shared" si="92"/>
        <v>35000</v>
      </c>
      <c r="W43" s="197">
        <f t="shared" si="92"/>
        <v>35000</v>
      </c>
      <c r="X43" s="197">
        <f t="shared" si="92"/>
        <v>35000</v>
      </c>
      <c r="Y43" s="197">
        <f t="shared" si="92"/>
        <v>35000</v>
      </c>
      <c r="Z43" s="197">
        <f t="shared" si="92"/>
        <v>35000</v>
      </c>
      <c r="AA43" s="197">
        <f t="shared" si="92"/>
        <v>35000</v>
      </c>
      <c r="AB43" s="197">
        <f t="shared" si="92"/>
        <v>35000</v>
      </c>
      <c r="AC43" s="197">
        <f t="shared" si="92"/>
        <v>35000</v>
      </c>
      <c r="AD43" s="197">
        <f t="shared" si="92"/>
        <v>35000</v>
      </c>
      <c r="AE43" s="197">
        <f t="shared" si="92"/>
        <v>35000</v>
      </c>
      <c r="AF43" s="197">
        <f t="shared" si="92"/>
        <v>64312.5</v>
      </c>
      <c r="AG43" s="197">
        <f t="shared" si="92"/>
        <v>69365.625</v>
      </c>
      <c r="AH43" s="197">
        <f t="shared" si="92"/>
        <v>69365.625</v>
      </c>
      <c r="AI43" s="197">
        <f t="shared" si="92"/>
        <v>69365.625</v>
      </c>
      <c r="AJ43" s="197">
        <f t="shared" si="92"/>
        <v>74418.75</v>
      </c>
      <c r="AK43" s="197">
        <f t="shared" si="92"/>
        <v>74418.75</v>
      </c>
      <c r="AL43" s="197">
        <f t="shared" si="92"/>
        <v>74418.75</v>
      </c>
      <c r="AM43" s="197">
        <f t="shared" si="92"/>
        <v>74418.75</v>
      </c>
      <c r="AN43" s="197">
        <f t="shared" si="92"/>
        <v>79471.875</v>
      </c>
      <c r="AO43" s="197">
        <f t="shared" si="92"/>
        <v>79471.875</v>
      </c>
      <c r="AP43" s="197">
        <f t="shared" si="92"/>
        <v>79471.875</v>
      </c>
      <c r="AQ43" s="197">
        <f t="shared" si="92"/>
        <v>79471.875</v>
      </c>
    </row>
    <row r="44" spans="1:43" s="46" customFormat="1" ht="15">
      <c r="E44" s="440"/>
      <c r="F44" s="440"/>
      <c r="G44" s="440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633"/>
    </row>
    <row r="45" spans="1:43" s="111" customFormat="1">
      <c r="A45" s="111" t="s">
        <v>47</v>
      </c>
      <c r="B45" s="18" t="s">
        <v>206</v>
      </c>
      <c r="C45" s="18"/>
      <c r="D45" s="18"/>
      <c r="E45" s="112"/>
      <c r="F45" s="112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43"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</row>
    <row r="47" spans="1:43" s="111" customFormat="1" ht="15">
      <c r="B47" s="46"/>
      <c r="C47" s="118" t="s">
        <v>410</v>
      </c>
      <c r="D47"/>
      <c r="E47" s="121"/>
      <c r="F47" s="121"/>
      <c r="G47" s="44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</row>
    <row r="48" spans="1:43" s="111" customFormat="1" ht="15">
      <c r="B48" s="219" t="s">
        <v>61</v>
      </c>
      <c r="C48" s="118" t="s">
        <v>409</v>
      </c>
      <c r="D48"/>
      <c r="E48" s="119"/>
      <c r="F48" s="119"/>
      <c r="G48" s="443"/>
      <c r="H48" s="120">
        <f t="shared" ref="H48:AQ48" si="93">SUM(H50:H59)</f>
        <v>3</v>
      </c>
      <c r="I48" s="120">
        <f t="shared" si="93"/>
        <v>3</v>
      </c>
      <c r="J48" s="120">
        <f t="shared" si="93"/>
        <v>3</v>
      </c>
      <c r="K48" s="120">
        <f t="shared" si="93"/>
        <v>3</v>
      </c>
      <c r="L48" s="120">
        <f t="shared" si="93"/>
        <v>3</v>
      </c>
      <c r="M48" s="120">
        <f t="shared" si="93"/>
        <v>3</v>
      </c>
      <c r="N48" s="120">
        <f t="shared" si="93"/>
        <v>3</v>
      </c>
      <c r="O48" s="120">
        <f t="shared" si="93"/>
        <v>3</v>
      </c>
      <c r="P48" s="120">
        <f t="shared" si="93"/>
        <v>5</v>
      </c>
      <c r="Q48" s="120">
        <f t="shared" si="93"/>
        <v>5</v>
      </c>
      <c r="R48" s="120">
        <f t="shared" si="93"/>
        <v>5</v>
      </c>
      <c r="S48" s="120">
        <f t="shared" si="93"/>
        <v>5</v>
      </c>
      <c r="T48" s="120">
        <f t="shared" si="93"/>
        <v>8</v>
      </c>
      <c r="U48" s="120">
        <f t="shared" si="93"/>
        <v>8</v>
      </c>
      <c r="V48" s="120">
        <f t="shared" si="93"/>
        <v>8</v>
      </c>
      <c r="W48" s="120">
        <f t="shared" si="93"/>
        <v>8</v>
      </c>
      <c r="X48" s="120">
        <f t="shared" si="93"/>
        <v>8</v>
      </c>
      <c r="Y48" s="120">
        <f t="shared" si="93"/>
        <v>8</v>
      </c>
      <c r="Z48" s="120">
        <f t="shared" si="93"/>
        <v>8</v>
      </c>
      <c r="AA48" s="120">
        <f t="shared" si="93"/>
        <v>8</v>
      </c>
      <c r="AB48" s="120">
        <f t="shared" si="93"/>
        <v>8</v>
      </c>
      <c r="AC48" s="120">
        <f t="shared" si="93"/>
        <v>8</v>
      </c>
      <c r="AD48" s="120">
        <f t="shared" si="93"/>
        <v>8</v>
      </c>
      <c r="AE48" s="120">
        <f t="shared" si="93"/>
        <v>8</v>
      </c>
      <c r="AF48" s="120">
        <f t="shared" si="93"/>
        <v>15</v>
      </c>
      <c r="AG48" s="120">
        <f t="shared" si="93"/>
        <v>15</v>
      </c>
      <c r="AH48" s="120">
        <f t="shared" si="93"/>
        <v>15</v>
      </c>
      <c r="AI48" s="120">
        <f t="shared" si="93"/>
        <v>15</v>
      </c>
      <c r="AJ48" s="120">
        <f t="shared" si="93"/>
        <v>15</v>
      </c>
      <c r="AK48" s="120">
        <f t="shared" si="93"/>
        <v>15</v>
      </c>
      <c r="AL48" s="120">
        <f t="shared" si="93"/>
        <v>15</v>
      </c>
      <c r="AM48" s="120">
        <f t="shared" si="93"/>
        <v>15</v>
      </c>
      <c r="AN48" s="120">
        <f t="shared" si="93"/>
        <v>15</v>
      </c>
      <c r="AO48" s="120">
        <f t="shared" si="93"/>
        <v>15</v>
      </c>
      <c r="AP48" s="120">
        <f t="shared" si="93"/>
        <v>15</v>
      </c>
      <c r="AQ48" s="120">
        <f t="shared" si="93"/>
        <v>15</v>
      </c>
    </row>
    <row r="49" spans="1:43" s="111" customFormat="1" ht="15">
      <c r="B49" s="46"/>
      <c r="C49" s="118"/>
      <c r="D49"/>
      <c r="E49" s="119">
        <v>2020</v>
      </c>
      <c r="F49" s="193">
        <v>2021</v>
      </c>
      <c r="G49" s="193">
        <v>2022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43" s="111" customFormat="1" ht="15">
      <c r="B50" s="46" t="s">
        <v>230</v>
      </c>
      <c r="C50" s="631">
        <v>200</v>
      </c>
      <c r="D50"/>
      <c r="E50" s="212">
        <v>70000</v>
      </c>
      <c r="F50" s="627">
        <f>E50*(1+$E$14)</f>
        <v>73500</v>
      </c>
      <c r="G50" s="627">
        <f>F50*(1+$E$14)</f>
        <v>77175</v>
      </c>
      <c r="H50" s="481">
        <v>0</v>
      </c>
      <c r="I50" s="481">
        <v>0</v>
      </c>
      <c r="J50" s="481">
        <v>0</v>
      </c>
      <c r="K50" s="481">
        <v>0</v>
      </c>
      <c r="L50" s="481">
        <v>0</v>
      </c>
      <c r="M50" s="481">
        <v>0</v>
      </c>
      <c r="N50" s="481">
        <v>0</v>
      </c>
      <c r="O50" s="481">
        <v>0</v>
      </c>
      <c r="P50" s="481">
        <v>0</v>
      </c>
      <c r="Q50" s="481">
        <v>0</v>
      </c>
      <c r="R50" s="481">
        <v>0</v>
      </c>
      <c r="S50" s="481">
        <v>0</v>
      </c>
      <c r="T50" s="481">
        <f t="shared" ref="T50:AQ50" si="94">MAX(1,ROUND(T$7/$C50,))</f>
        <v>1</v>
      </c>
      <c r="U50" s="481">
        <f t="shared" si="94"/>
        <v>1</v>
      </c>
      <c r="V50" s="481">
        <f t="shared" si="94"/>
        <v>1</v>
      </c>
      <c r="W50" s="481">
        <f t="shared" si="94"/>
        <v>1</v>
      </c>
      <c r="X50" s="481">
        <f t="shared" si="94"/>
        <v>1</v>
      </c>
      <c r="Y50" s="481">
        <f t="shared" si="94"/>
        <v>1</v>
      </c>
      <c r="Z50" s="481">
        <f t="shared" si="94"/>
        <v>1</v>
      </c>
      <c r="AA50" s="481">
        <f t="shared" si="94"/>
        <v>1</v>
      </c>
      <c r="AB50" s="481">
        <f t="shared" si="94"/>
        <v>1</v>
      </c>
      <c r="AC50" s="481">
        <f t="shared" si="94"/>
        <v>1</v>
      </c>
      <c r="AD50" s="481">
        <f t="shared" si="94"/>
        <v>1</v>
      </c>
      <c r="AE50" s="481">
        <f t="shared" si="94"/>
        <v>1</v>
      </c>
      <c r="AF50" s="481">
        <f t="shared" si="94"/>
        <v>3</v>
      </c>
      <c r="AG50" s="481">
        <f t="shared" si="94"/>
        <v>3</v>
      </c>
      <c r="AH50" s="481">
        <f t="shared" si="94"/>
        <v>3</v>
      </c>
      <c r="AI50" s="481">
        <f t="shared" si="94"/>
        <v>3</v>
      </c>
      <c r="AJ50" s="481">
        <f t="shared" si="94"/>
        <v>3</v>
      </c>
      <c r="AK50" s="481">
        <f t="shared" si="94"/>
        <v>3</v>
      </c>
      <c r="AL50" s="481">
        <f t="shared" si="94"/>
        <v>3</v>
      </c>
      <c r="AM50" s="481">
        <f t="shared" si="94"/>
        <v>3</v>
      </c>
      <c r="AN50" s="481">
        <f t="shared" si="94"/>
        <v>3</v>
      </c>
      <c r="AO50" s="481">
        <f t="shared" si="94"/>
        <v>3</v>
      </c>
      <c r="AP50" s="481">
        <f t="shared" si="94"/>
        <v>3</v>
      </c>
      <c r="AQ50" s="481">
        <f t="shared" si="94"/>
        <v>3</v>
      </c>
    </row>
    <row r="51" spans="1:43" s="111" customFormat="1" ht="15">
      <c r="B51" s="46"/>
      <c r="C51"/>
      <c r="D51"/>
      <c r="E51"/>
      <c r="F51"/>
      <c r="G51"/>
      <c r="H51" s="482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</row>
    <row r="52" spans="1:43" s="111" customFormat="1" ht="15">
      <c r="B52" s="46" t="s">
        <v>363</v>
      </c>
      <c r="C52"/>
      <c r="D52"/>
      <c r="E52" s="212">
        <v>85000</v>
      </c>
      <c r="F52" s="627">
        <f t="shared" ref="F52:G52" si="95">E52*(1+$E$14)</f>
        <v>89250</v>
      </c>
      <c r="G52" s="627">
        <f t="shared" si="95"/>
        <v>93712.5</v>
      </c>
      <c r="H52" s="482">
        <v>1</v>
      </c>
      <c r="I52" s="482">
        <v>1</v>
      </c>
      <c r="J52" s="482">
        <v>1</v>
      </c>
      <c r="K52" s="482">
        <v>1</v>
      </c>
      <c r="L52" s="482">
        <v>1</v>
      </c>
      <c r="M52" s="482">
        <v>1</v>
      </c>
      <c r="N52" s="482">
        <v>1</v>
      </c>
      <c r="O52" s="482">
        <v>1</v>
      </c>
      <c r="P52" s="482">
        <v>1</v>
      </c>
      <c r="Q52" s="482">
        <v>1</v>
      </c>
      <c r="R52" s="482">
        <v>1</v>
      </c>
      <c r="S52" s="482">
        <v>1</v>
      </c>
      <c r="T52" s="482">
        <v>1</v>
      </c>
      <c r="U52" s="482">
        <v>1</v>
      </c>
      <c r="V52" s="482">
        <v>1</v>
      </c>
      <c r="W52" s="482">
        <v>1</v>
      </c>
      <c r="X52" s="482">
        <v>1</v>
      </c>
      <c r="Y52" s="482">
        <v>1</v>
      </c>
      <c r="Z52" s="482">
        <v>1</v>
      </c>
      <c r="AA52" s="482">
        <v>1</v>
      </c>
      <c r="AB52" s="482">
        <v>1</v>
      </c>
      <c r="AC52" s="482">
        <v>1</v>
      </c>
      <c r="AD52" s="482">
        <v>1</v>
      </c>
      <c r="AE52" s="482">
        <v>1</v>
      </c>
      <c r="AF52" s="482">
        <v>1</v>
      </c>
      <c r="AG52" s="482">
        <v>1</v>
      </c>
      <c r="AH52" s="482">
        <v>1</v>
      </c>
      <c r="AI52" s="482">
        <v>1</v>
      </c>
      <c r="AJ52" s="482">
        <v>1</v>
      </c>
      <c r="AK52" s="482">
        <v>1</v>
      </c>
      <c r="AL52" s="482">
        <v>1</v>
      </c>
      <c r="AM52" s="482">
        <v>1</v>
      </c>
      <c r="AN52" s="482">
        <v>1</v>
      </c>
      <c r="AO52" s="482">
        <v>1</v>
      </c>
      <c r="AP52" s="482">
        <v>1</v>
      </c>
      <c r="AQ52" s="482">
        <v>1</v>
      </c>
    </row>
    <row r="53" spans="1:43" s="111" customFormat="1" ht="15">
      <c r="B53" s="46" t="s">
        <v>272</v>
      </c>
      <c r="C53" s="631">
        <v>200</v>
      </c>
      <c r="D53"/>
      <c r="E53" s="212">
        <v>50000</v>
      </c>
      <c r="F53" s="627">
        <f t="shared" ref="F53:G53" si="96">E53*(1+$E$14)</f>
        <v>52500</v>
      </c>
      <c r="G53" s="627">
        <f t="shared" si="96"/>
        <v>55125</v>
      </c>
      <c r="H53" s="611">
        <v>0</v>
      </c>
      <c r="I53" s="611">
        <v>0</v>
      </c>
      <c r="J53" s="611">
        <v>0</v>
      </c>
      <c r="K53" s="611">
        <v>0</v>
      </c>
      <c r="L53" s="611">
        <v>0</v>
      </c>
      <c r="M53" s="611">
        <v>0</v>
      </c>
      <c r="N53" s="611">
        <v>0</v>
      </c>
      <c r="O53" s="611">
        <v>0</v>
      </c>
      <c r="P53" s="481">
        <f t="shared" ref="P53:AQ55" si="97">MAX(1,ROUND(P$7/$C53,))</f>
        <v>1</v>
      </c>
      <c r="Q53" s="481">
        <f t="shared" si="97"/>
        <v>1</v>
      </c>
      <c r="R53" s="481">
        <f t="shared" si="97"/>
        <v>1</v>
      </c>
      <c r="S53" s="481">
        <f t="shared" si="97"/>
        <v>1</v>
      </c>
      <c r="T53" s="481">
        <f t="shared" si="97"/>
        <v>1</v>
      </c>
      <c r="U53" s="511">
        <f t="shared" si="97"/>
        <v>1</v>
      </c>
      <c r="V53" s="511">
        <f t="shared" si="97"/>
        <v>1</v>
      </c>
      <c r="W53" s="511">
        <f t="shared" si="97"/>
        <v>1</v>
      </c>
      <c r="X53" s="511">
        <f t="shared" si="97"/>
        <v>1</v>
      </c>
      <c r="Y53" s="511">
        <f t="shared" si="97"/>
        <v>1</v>
      </c>
      <c r="Z53" s="511">
        <f t="shared" si="97"/>
        <v>1</v>
      </c>
      <c r="AA53" s="511">
        <f t="shared" si="97"/>
        <v>1</v>
      </c>
      <c r="AB53" s="511">
        <f t="shared" si="97"/>
        <v>1</v>
      </c>
      <c r="AC53" s="511">
        <f t="shared" si="97"/>
        <v>1</v>
      </c>
      <c r="AD53" s="511">
        <f t="shared" si="97"/>
        <v>1</v>
      </c>
      <c r="AE53" s="511">
        <f t="shared" si="97"/>
        <v>1</v>
      </c>
      <c r="AF53" s="511">
        <f t="shared" si="97"/>
        <v>3</v>
      </c>
      <c r="AG53" s="511">
        <f t="shared" si="97"/>
        <v>3</v>
      </c>
      <c r="AH53" s="511">
        <f t="shared" si="97"/>
        <v>3</v>
      </c>
      <c r="AI53" s="511">
        <f t="shared" si="97"/>
        <v>3</v>
      </c>
      <c r="AJ53" s="511">
        <f t="shared" si="97"/>
        <v>3</v>
      </c>
      <c r="AK53" s="511">
        <f t="shared" si="97"/>
        <v>3</v>
      </c>
      <c r="AL53" s="511">
        <f t="shared" si="97"/>
        <v>3</v>
      </c>
      <c r="AM53" s="511">
        <f t="shared" si="97"/>
        <v>3</v>
      </c>
      <c r="AN53" s="511">
        <f t="shared" si="97"/>
        <v>3</v>
      </c>
      <c r="AO53" s="511">
        <f t="shared" si="97"/>
        <v>3</v>
      </c>
      <c r="AP53" s="511">
        <f t="shared" si="97"/>
        <v>3</v>
      </c>
      <c r="AQ53" s="480">
        <f t="shared" si="97"/>
        <v>3</v>
      </c>
    </row>
    <row r="54" spans="1:43" s="111" customFormat="1" ht="15">
      <c r="B54" s="46" t="s">
        <v>364</v>
      </c>
      <c r="C54"/>
      <c r="D54"/>
      <c r="E54" s="213">
        <v>80000</v>
      </c>
      <c r="F54" s="627">
        <f t="shared" ref="F54:G54" si="98">E54*(1+$E$14)</f>
        <v>84000</v>
      </c>
      <c r="G54" s="627">
        <f t="shared" si="98"/>
        <v>88200</v>
      </c>
      <c r="H54" s="482">
        <v>1</v>
      </c>
      <c r="I54" s="482">
        <v>1</v>
      </c>
      <c r="J54" s="482">
        <v>1</v>
      </c>
      <c r="K54" s="482">
        <v>1</v>
      </c>
      <c r="L54" s="482">
        <v>1</v>
      </c>
      <c r="M54" s="482">
        <v>1</v>
      </c>
      <c r="N54" s="482">
        <v>1</v>
      </c>
      <c r="O54" s="482">
        <v>1</v>
      </c>
      <c r="P54" s="482">
        <v>1</v>
      </c>
      <c r="Q54" s="482">
        <v>1</v>
      </c>
      <c r="R54" s="482">
        <v>1</v>
      </c>
      <c r="S54" s="482">
        <v>1</v>
      </c>
      <c r="T54" s="482">
        <v>1</v>
      </c>
      <c r="U54" s="482">
        <v>1</v>
      </c>
      <c r="V54" s="482">
        <v>1</v>
      </c>
      <c r="W54" s="482">
        <v>1</v>
      </c>
      <c r="X54" s="482">
        <v>1</v>
      </c>
      <c r="Y54" s="482">
        <v>1</v>
      </c>
      <c r="Z54" s="482">
        <v>1</v>
      </c>
      <c r="AA54" s="482">
        <v>1</v>
      </c>
      <c r="AB54" s="482">
        <v>1</v>
      </c>
      <c r="AC54" s="482">
        <v>1</v>
      </c>
      <c r="AD54" s="482">
        <v>1</v>
      </c>
      <c r="AE54" s="482">
        <v>1</v>
      </c>
      <c r="AF54" s="482">
        <v>1</v>
      </c>
      <c r="AG54" s="482">
        <v>1</v>
      </c>
      <c r="AH54" s="482">
        <v>1</v>
      </c>
      <c r="AI54" s="482">
        <v>1</v>
      </c>
      <c r="AJ54" s="482">
        <v>1</v>
      </c>
      <c r="AK54" s="482">
        <v>1</v>
      </c>
      <c r="AL54" s="482">
        <v>1</v>
      </c>
      <c r="AM54" s="482">
        <v>1</v>
      </c>
      <c r="AN54" s="482">
        <v>1</v>
      </c>
      <c r="AO54" s="482">
        <v>1</v>
      </c>
      <c r="AP54" s="482">
        <v>1</v>
      </c>
      <c r="AQ54" s="482">
        <v>1</v>
      </c>
    </row>
    <row r="55" spans="1:43" s="111" customFormat="1" ht="15">
      <c r="B55" s="46" t="s">
        <v>204</v>
      </c>
      <c r="C55" s="631">
        <v>300</v>
      </c>
      <c r="D55"/>
      <c r="E55" s="213">
        <v>50000</v>
      </c>
      <c r="F55" s="627">
        <f t="shared" ref="F55:G55" si="99">E55*(1+$E$14)</f>
        <v>52500</v>
      </c>
      <c r="G55" s="627">
        <f t="shared" si="99"/>
        <v>55125</v>
      </c>
      <c r="H55" s="611">
        <v>0</v>
      </c>
      <c r="I55" s="611">
        <v>0</v>
      </c>
      <c r="J55" s="611">
        <v>0</v>
      </c>
      <c r="K55" s="611">
        <v>0</v>
      </c>
      <c r="L55" s="611">
        <v>0</v>
      </c>
      <c r="M55" s="611">
        <v>0</v>
      </c>
      <c r="N55" s="611">
        <v>0</v>
      </c>
      <c r="O55" s="611">
        <v>0</v>
      </c>
      <c r="P55" s="481">
        <f t="shared" si="97"/>
        <v>1</v>
      </c>
      <c r="Q55" s="481">
        <f t="shared" si="97"/>
        <v>1</v>
      </c>
      <c r="R55" s="481">
        <f t="shared" si="97"/>
        <v>1</v>
      </c>
      <c r="S55" s="481">
        <f t="shared" si="97"/>
        <v>1</v>
      </c>
      <c r="T55" s="481">
        <f t="shared" si="97"/>
        <v>1</v>
      </c>
      <c r="U55" s="511">
        <f t="shared" si="97"/>
        <v>1</v>
      </c>
      <c r="V55" s="511">
        <f t="shared" si="97"/>
        <v>1</v>
      </c>
      <c r="W55" s="511">
        <f t="shared" si="97"/>
        <v>1</v>
      </c>
      <c r="X55" s="511">
        <f t="shared" si="97"/>
        <v>1</v>
      </c>
      <c r="Y55" s="511">
        <f t="shared" si="97"/>
        <v>1</v>
      </c>
      <c r="Z55" s="511">
        <f t="shared" si="97"/>
        <v>1</v>
      </c>
      <c r="AA55" s="511">
        <f t="shared" si="97"/>
        <v>1</v>
      </c>
      <c r="AB55" s="511">
        <f t="shared" si="97"/>
        <v>1</v>
      </c>
      <c r="AC55" s="511">
        <f t="shared" si="97"/>
        <v>1</v>
      </c>
      <c r="AD55" s="511">
        <f t="shared" si="97"/>
        <v>1</v>
      </c>
      <c r="AE55" s="511">
        <f t="shared" si="97"/>
        <v>1</v>
      </c>
      <c r="AF55" s="511">
        <f t="shared" si="97"/>
        <v>2</v>
      </c>
      <c r="AG55" s="511">
        <f t="shared" si="97"/>
        <v>2</v>
      </c>
      <c r="AH55" s="511">
        <f t="shared" si="97"/>
        <v>2</v>
      </c>
      <c r="AI55" s="511">
        <f t="shared" si="97"/>
        <v>2</v>
      </c>
      <c r="AJ55" s="511">
        <f t="shared" si="97"/>
        <v>2</v>
      </c>
      <c r="AK55" s="511">
        <f t="shared" si="97"/>
        <v>2</v>
      </c>
      <c r="AL55" s="511">
        <f t="shared" si="97"/>
        <v>2</v>
      </c>
      <c r="AM55" s="511">
        <f t="shared" si="97"/>
        <v>2</v>
      </c>
      <c r="AN55" s="511">
        <f t="shared" si="97"/>
        <v>2</v>
      </c>
      <c r="AO55" s="511">
        <f t="shared" si="97"/>
        <v>2</v>
      </c>
      <c r="AP55" s="511">
        <f t="shared" si="97"/>
        <v>2</v>
      </c>
      <c r="AQ55" s="480">
        <f t="shared" si="97"/>
        <v>2</v>
      </c>
    </row>
    <row r="56" spans="1:43" s="111" customFormat="1" ht="15">
      <c r="B56" s="46" t="s">
        <v>253</v>
      </c>
      <c r="C56"/>
      <c r="D56"/>
      <c r="E56" s="212">
        <v>85000</v>
      </c>
      <c r="F56" s="627">
        <f t="shared" ref="F56:G56" si="100">E56*(1+$E$14)</f>
        <v>89250</v>
      </c>
      <c r="G56" s="627">
        <f t="shared" si="100"/>
        <v>93712.5</v>
      </c>
      <c r="H56" s="482">
        <v>1</v>
      </c>
      <c r="I56" s="482">
        <v>1</v>
      </c>
      <c r="J56" s="482">
        <v>1</v>
      </c>
      <c r="K56" s="482">
        <v>1</v>
      </c>
      <c r="L56" s="482">
        <v>1</v>
      </c>
      <c r="M56" s="482">
        <v>1</v>
      </c>
      <c r="N56" s="482">
        <v>1</v>
      </c>
      <c r="O56" s="482">
        <v>1</v>
      </c>
      <c r="P56" s="482">
        <v>1</v>
      </c>
      <c r="Q56" s="482">
        <v>1</v>
      </c>
      <c r="R56" s="482">
        <v>1</v>
      </c>
      <c r="S56" s="482">
        <v>1</v>
      </c>
      <c r="T56" s="482">
        <v>1</v>
      </c>
      <c r="U56" s="482">
        <v>1</v>
      </c>
      <c r="V56" s="482">
        <v>1</v>
      </c>
      <c r="W56" s="482">
        <v>1</v>
      </c>
      <c r="X56" s="482">
        <v>1</v>
      </c>
      <c r="Y56" s="482">
        <v>1</v>
      </c>
      <c r="Z56" s="482">
        <v>1</v>
      </c>
      <c r="AA56" s="482">
        <v>1</v>
      </c>
      <c r="AB56" s="482">
        <v>1</v>
      </c>
      <c r="AC56" s="482">
        <v>1</v>
      </c>
      <c r="AD56" s="482">
        <v>1</v>
      </c>
      <c r="AE56" s="482">
        <v>1</v>
      </c>
      <c r="AF56" s="482">
        <v>1</v>
      </c>
      <c r="AG56" s="482">
        <v>1</v>
      </c>
      <c r="AH56" s="482">
        <v>1</v>
      </c>
      <c r="AI56" s="482">
        <v>1</v>
      </c>
      <c r="AJ56" s="482">
        <v>1</v>
      </c>
      <c r="AK56" s="482">
        <v>1</v>
      </c>
      <c r="AL56" s="482">
        <v>1</v>
      </c>
      <c r="AM56" s="482">
        <v>1</v>
      </c>
      <c r="AN56" s="482">
        <v>1</v>
      </c>
      <c r="AO56" s="482">
        <v>1</v>
      </c>
      <c r="AP56" s="482">
        <v>1</v>
      </c>
      <c r="AQ56" s="482">
        <v>1</v>
      </c>
    </row>
    <row r="57" spans="1:43" s="111" customFormat="1" ht="15">
      <c r="B57" s="46" t="s">
        <v>205</v>
      </c>
      <c r="C57" s="631">
        <v>200</v>
      </c>
      <c r="D57"/>
      <c r="E57" s="441">
        <v>50000</v>
      </c>
      <c r="F57" s="627">
        <f t="shared" ref="F57:G58" si="101">E57*(1+$E$14)</f>
        <v>52500</v>
      </c>
      <c r="G57" s="627">
        <f t="shared" si="101"/>
        <v>55125</v>
      </c>
      <c r="H57" s="481">
        <v>0</v>
      </c>
      <c r="I57" s="481">
        <v>0</v>
      </c>
      <c r="J57" s="481">
        <v>0</v>
      </c>
      <c r="K57" s="481">
        <v>0</v>
      </c>
      <c r="L57" s="481">
        <v>0</v>
      </c>
      <c r="M57" s="481">
        <v>0</v>
      </c>
      <c r="N57" s="481">
        <v>0</v>
      </c>
      <c r="O57" s="481">
        <v>0</v>
      </c>
      <c r="P57" s="481">
        <v>0</v>
      </c>
      <c r="Q57" s="481">
        <v>0</v>
      </c>
      <c r="R57" s="481">
        <v>0</v>
      </c>
      <c r="S57" s="481">
        <v>0</v>
      </c>
      <c r="T57" s="481">
        <f t="shared" ref="T57:AQ57" si="102">MAX(1,ROUND(T$7/$C57,))</f>
        <v>1</v>
      </c>
      <c r="U57" s="481">
        <f t="shared" si="102"/>
        <v>1</v>
      </c>
      <c r="V57" s="481">
        <f t="shared" si="102"/>
        <v>1</v>
      </c>
      <c r="W57" s="481">
        <f t="shared" si="102"/>
        <v>1</v>
      </c>
      <c r="X57" s="481">
        <f t="shared" si="102"/>
        <v>1</v>
      </c>
      <c r="Y57" s="481">
        <f t="shared" si="102"/>
        <v>1</v>
      </c>
      <c r="Z57" s="481">
        <f t="shared" si="102"/>
        <v>1</v>
      </c>
      <c r="AA57" s="481">
        <f t="shared" si="102"/>
        <v>1</v>
      </c>
      <c r="AB57" s="481">
        <f t="shared" si="102"/>
        <v>1</v>
      </c>
      <c r="AC57" s="481">
        <f t="shared" si="102"/>
        <v>1</v>
      </c>
      <c r="AD57" s="481">
        <f t="shared" si="102"/>
        <v>1</v>
      </c>
      <c r="AE57" s="481">
        <f t="shared" si="102"/>
        <v>1</v>
      </c>
      <c r="AF57" s="481">
        <f t="shared" si="102"/>
        <v>3</v>
      </c>
      <c r="AG57" s="481">
        <f t="shared" si="102"/>
        <v>3</v>
      </c>
      <c r="AH57" s="481">
        <f t="shared" si="102"/>
        <v>3</v>
      </c>
      <c r="AI57" s="481">
        <f t="shared" si="102"/>
        <v>3</v>
      </c>
      <c r="AJ57" s="481">
        <f t="shared" si="102"/>
        <v>3</v>
      </c>
      <c r="AK57" s="481">
        <f t="shared" si="102"/>
        <v>3</v>
      </c>
      <c r="AL57" s="481">
        <f t="shared" si="102"/>
        <v>3</v>
      </c>
      <c r="AM57" s="481">
        <f t="shared" si="102"/>
        <v>3</v>
      </c>
      <c r="AN57" s="481">
        <f t="shared" si="102"/>
        <v>3</v>
      </c>
      <c r="AO57" s="481">
        <f t="shared" si="102"/>
        <v>3</v>
      </c>
      <c r="AP57" s="481">
        <f t="shared" si="102"/>
        <v>3</v>
      </c>
      <c r="AQ57" s="481">
        <f t="shared" si="102"/>
        <v>3</v>
      </c>
    </row>
    <row r="58" spans="1:43" s="111" customFormat="1" ht="15">
      <c r="B58" s="46" t="s">
        <v>414</v>
      </c>
      <c r="C58"/>
      <c r="D58"/>
      <c r="E58" s="212">
        <v>85000</v>
      </c>
      <c r="F58" s="627">
        <f t="shared" si="101"/>
        <v>89250</v>
      </c>
      <c r="G58" s="627">
        <f t="shared" si="101"/>
        <v>93712.5</v>
      </c>
      <c r="H58" s="482">
        <v>0</v>
      </c>
      <c r="I58" s="482">
        <v>0</v>
      </c>
      <c r="J58" s="482">
        <v>0</v>
      </c>
      <c r="K58" s="482">
        <v>0</v>
      </c>
      <c r="L58" s="482">
        <v>0</v>
      </c>
      <c r="M58" s="482">
        <v>0</v>
      </c>
      <c r="N58" s="482">
        <v>0</v>
      </c>
      <c r="O58" s="482">
        <v>0</v>
      </c>
      <c r="P58" s="482">
        <v>0</v>
      </c>
      <c r="Q58" s="482">
        <v>0</v>
      </c>
      <c r="R58" s="482">
        <v>0</v>
      </c>
      <c r="S58" s="482">
        <v>0</v>
      </c>
      <c r="T58" s="482">
        <v>1</v>
      </c>
      <c r="U58" s="482">
        <v>1</v>
      </c>
      <c r="V58" s="482">
        <v>1</v>
      </c>
      <c r="W58" s="482">
        <v>1</v>
      </c>
      <c r="X58" s="482">
        <v>1</v>
      </c>
      <c r="Y58" s="482">
        <v>1</v>
      </c>
      <c r="Z58" s="482">
        <v>1</v>
      </c>
      <c r="AA58" s="482">
        <v>1</v>
      </c>
      <c r="AB58" s="482">
        <v>1</v>
      </c>
      <c r="AC58" s="482">
        <v>1</v>
      </c>
      <c r="AD58" s="482">
        <v>1</v>
      </c>
      <c r="AE58" s="482">
        <v>1</v>
      </c>
      <c r="AF58" s="482">
        <v>1</v>
      </c>
      <c r="AG58" s="482">
        <v>1</v>
      </c>
      <c r="AH58" s="482">
        <v>1</v>
      </c>
      <c r="AI58" s="482">
        <v>1</v>
      </c>
      <c r="AJ58" s="482">
        <v>1</v>
      </c>
      <c r="AK58" s="482">
        <v>1</v>
      </c>
      <c r="AL58" s="482">
        <v>1</v>
      </c>
      <c r="AM58" s="482">
        <v>1</v>
      </c>
      <c r="AN58" s="482">
        <v>1</v>
      </c>
      <c r="AO58" s="482">
        <v>1</v>
      </c>
      <c r="AP58" s="482">
        <v>1</v>
      </c>
      <c r="AQ58" s="482">
        <v>1</v>
      </c>
    </row>
    <row r="59" spans="1:43" s="111" customFormat="1" ht="15">
      <c r="B59" s="46" t="s">
        <v>220</v>
      </c>
      <c r="C59"/>
      <c r="D59"/>
      <c r="E59" s="214"/>
      <c r="F59" s="214"/>
      <c r="G59" s="214"/>
      <c r="H59" s="481"/>
      <c r="I59" s="481"/>
      <c r="J59" s="481"/>
      <c r="K59" s="481"/>
      <c r="L59" s="481"/>
      <c r="M59" s="481"/>
      <c r="N59" s="481"/>
      <c r="O59" s="481"/>
      <c r="P59" s="481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</row>
    <row r="60" spans="1:43" s="111" customFormat="1">
      <c r="B60" s="116" t="s">
        <v>227</v>
      </c>
      <c r="C60" s="116"/>
      <c r="D60" s="116"/>
      <c r="E60" s="117"/>
      <c r="F60" s="117"/>
      <c r="G60" s="442"/>
      <c r="H60" s="197">
        <f>IF(H$4=2020,SUMPRODUCT($E50:$E59,H50:H59)/12,IF(H$4=2021,SUMPRODUCT($F50:$F59,H50:H59)/12,IF(H$4=2022,SUMPRODUCT($G50:$G59,H50:H59)/12)))</f>
        <v>20833.333333333332</v>
      </c>
      <c r="I60" s="197">
        <f t="shared" ref="I60:AQ60" si="103">IF(I$4=2020,SUMPRODUCT($E50:$E59,I50:I59)/12,IF(I$4=2021,SUMPRODUCT($F50:$F59,I50:I59)/12,IF(I$4=2022,SUMPRODUCT($G50:$G59,I50:I59)/12)))</f>
        <v>20833.333333333332</v>
      </c>
      <c r="J60" s="197">
        <f t="shared" si="103"/>
        <v>20833.333333333332</v>
      </c>
      <c r="K60" s="197">
        <f t="shared" si="103"/>
        <v>20833.333333333332</v>
      </c>
      <c r="L60" s="197">
        <f t="shared" si="103"/>
        <v>20833.333333333332</v>
      </c>
      <c r="M60" s="197">
        <f t="shared" si="103"/>
        <v>20833.333333333332</v>
      </c>
      <c r="N60" s="197">
        <f t="shared" si="103"/>
        <v>20833.333333333332</v>
      </c>
      <c r="O60" s="197">
        <f t="shared" si="103"/>
        <v>20833.333333333332</v>
      </c>
      <c r="P60" s="197">
        <f t="shared" si="103"/>
        <v>29166.666666666668</v>
      </c>
      <c r="Q60" s="197">
        <f t="shared" si="103"/>
        <v>29166.666666666668</v>
      </c>
      <c r="R60" s="197">
        <f t="shared" si="103"/>
        <v>29166.666666666668</v>
      </c>
      <c r="S60" s="197">
        <f t="shared" si="103"/>
        <v>29166.666666666668</v>
      </c>
      <c r="T60" s="197">
        <f t="shared" si="103"/>
        <v>48562.5</v>
      </c>
      <c r="U60" s="197">
        <f t="shared" si="103"/>
        <v>48562.5</v>
      </c>
      <c r="V60" s="197">
        <f t="shared" si="103"/>
        <v>48562.5</v>
      </c>
      <c r="W60" s="197">
        <f t="shared" si="103"/>
        <v>48562.5</v>
      </c>
      <c r="X60" s="197">
        <f t="shared" si="103"/>
        <v>48562.5</v>
      </c>
      <c r="Y60" s="197">
        <f t="shared" si="103"/>
        <v>48562.5</v>
      </c>
      <c r="Z60" s="197">
        <f t="shared" si="103"/>
        <v>48562.5</v>
      </c>
      <c r="AA60" s="197">
        <f t="shared" si="103"/>
        <v>48562.5</v>
      </c>
      <c r="AB60" s="197">
        <f t="shared" si="103"/>
        <v>48562.5</v>
      </c>
      <c r="AC60" s="197">
        <f t="shared" si="103"/>
        <v>48562.5</v>
      </c>
      <c r="AD60" s="197">
        <f t="shared" si="103"/>
        <v>48562.5</v>
      </c>
      <c r="AE60" s="197">
        <f t="shared" si="103"/>
        <v>48562.5</v>
      </c>
      <c r="AF60" s="197">
        <f t="shared" si="103"/>
        <v>86821.875</v>
      </c>
      <c r="AG60" s="197">
        <f t="shared" si="103"/>
        <v>86821.875</v>
      </c>
      <c r="AH60" s="197">
        <f t="shared" si="103"/>
        <v>86821.875</v>
      </c>
      <c r="AI60" s="197">
        <f t="shared" si="103"/>
        <v>86821.875</v>
      </c>
      <c r="AJ60" s="197">
        <f t="shared" si="103"/>
        <v>86821.875</v>
      </c>
      <c r="AK60" s="197">
        <f t="shared" si="103"/>
        <v>86821.875</v>
      </c>
      <c r="AL60" s="197">
        <f t="shared" si="103"/>
        <v>86821.875</v>
      </c>
      <c r="AM60" s="197">
        <f t="shared" si="103"/>
        <v>86821.875</v>
      </c>
      <c r="AN60" s="197">
        <f t="shared" si="103"/>
        <v>86821.875</v>
      </c>
      <c r="AO60" s="197">
        <f t="shared" si="103"/>
        <v>86821.875</v>
      </c>
      <c r="AP60" s="197">
        <f t="shared" si="103"/>
        <v>86821.875</v>
      </c>
      <c r="AQ60" s="197">
        <f t="shared" si="103"/>
        <v>86821.875</v>
      </c>
    </row>
    <row r="61" spans="1:43" s="185" customFormat="1">
      <c r="B61" s="161"/>
      <c r="C61" s="183"/>
      <c r="D61" s="183"/>
      <c r="E61" s="184"/>
      <c r="F61" s="184"/>
      <c r="G61" s="184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</row>
    <row r="62" spans="1:43" s="161" customFormat="1" ht="15">
      <c r="A62" s="161" t="s">
        <v>47</v>
      </c>
      <c r="B62" s="186" t="s">
        <v>226</v>
      </c>
      <c r="C62"/>
      <c r="D62" s="187"/>
      <c r="E62" s="188"/>
      <c r="F62" s="188"/>
      <c r="G62" s="188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</row>
    <row r="63" spans="1:43" s="161" customFormat="1" ht="15">
      <c r="C63" s="192"/>
      <c r="D63"/>
      <c r="E63" s="191"/>
      <c r="F63" s="191"/>
      <c r="G63" s="445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</row>
    <row r="64" spans="1:43" customFormat="1" ht="15">
      <c r="A64" s="161"/>
      <c r="B64" s="448" t="s">
        <v>61</v>
      </c>
      <c r="C64" s="192" t="s">
        <v>359</v>
      </c>
      <c r="E64" s="193"/>
      <c r="F64" s="193"/>
      <c r="G64" s="444"/>
      <c r="H64" s="194">
        <f t="shared" ref="H64:AQ64" si="104">SUM(H66:H78)</f>
        <v>3</v>
      </c>
      <c r="I64" s="194">
        <f t="shared" si="104"/>
        <v>3</v>
      </c>
      <c r="J64" s="194">
        <f t="shared" si="104"/>
        <v>4</v>
      </c>
      <c r="K64" s="194">
        <f t="shared" si="104"/>
        <v>5</v>
      </c>
      <c r="L64" s="194">
        <f t="shared" si="104"/>
        <v>8</v>
      </c>
      <c r="M64" s="194">
        <f t="shared" si="104"/>
        <v>8</v>
      </c>
      <c r="N64" s="194">
        <f t="shared" si="104"/>
        <v>9</v>
      </c>
      <c r="O64" s="194">
        <f t="shared" si="104"/>
        <v>9</v>
      </c>
      <c r="P64" s="194">
        <f t="shared" si="104"/>
        <v>9</v>
      </c>
      <c r="Q64" s="194">
        <f t="shared" si="104"/>
        <v>9</v>
      </c>
      <c r="R64" s="194">
        <f t="shared" si="104"/>
        <v>9</v>
      </c>
      <c r="S64" s="194">
        <f t="shared" si="104"/>
        <v>9</v>
      </c>
      <c r="T64" s="194">
        <f t="shared" si="104"/>
        <v>9</v>
      </c>
      <c r="U64" s="194">
        <f t="shared" si="104"/>
        <v>9</v>
      </c>
      <c r="V64" s="194">
        <f t="shared" si="104"/>
        <v>9</v>
      </c>
      <c r="W64" s="194">
        <f t="shared" si="104"/>
        <v>9</v>
      </c>
      <c r="X64" s="194">
        <f t="shared" si="104"/>
        <v>10</v>
      </c>
      <c r="Y64" s="194">
        <f t="shared" si="104"/>
        <v>10</v>
      </c>
      <c r="Z64" s="194">
        <f t="shared" si="104"/>
        <v>11</v>
      </c>
      <c r="AA64" s="194">
        <f t="shared" si="104"/>
        <v>11</v>
      </c>
      <c r="AB64" s="194">
        <f t="shared" si="104"/>
        <v>11</v>
      </c>
      <c r="AC64" s="194">
        <f t="shared" si="104"/>
        <v>11</v>
      </c>
      <c r="AD64" s="194">
        <f t="shared" si="104"/>
        <v>11</v>
      </c>
      <c r="AE64" s="194">
        <f t="shared" si="104"/>
        <v>11</v>
      </c>
      <c r="AF64" s="194">
        <f t="shared" si="104"/>
        <v>12</v>
      </c>
      <c r="AG64" s="194">
        <f t="shared" si="104"/>
        <v>12</v>
      </c>
      <c r="AH64" s="194">
        <f t="shared" si="104"/>
        <v>13</v>
      </c>
      <c r="AI64" s="194">
        <f t="shared" si="104"/>
        <v>14</v>
      </c>
      <c r="AJ64" s="194">
        <f t="shared" si="104"/>
        <v>14</v>
      </c>
      <c r="AK64" s="194">
        <f t="shared" si="104"/>
        <v>15</v>
      </c>
      <c r="AL64" s="194">
        <f t="shared" si="104"/>
        <v>16</v>
      </c>
      <c r="AM64" s="194">
        <f t="shared" si="104"/>
        <v>16</v>
      </c>
      <c r="AN64" s="194">
        <f t="shared" si="104"/>
        <v>17</v>
      </c>
      <c r="AO64" s="194">
        <f t="shared" si="104"/>
        <v>18</v>
      </c>
      <c r="AP64" s="194">
        <f t="shared" si="104"/>
        <v>18</v>
      </c>
      <c r="AQ64" s="194">
        <f t="shared" si="104"/>
        <v>19</v>
      </c>
    </row>
    <row r="65" spans="1:43" customFormat="1" ht="15">
      <c r="A65" s="161"/>
      <c r="B65" s="448"/>
      <c r="C65" s="192" t="s">
        <v>360</v>
      </c>
      <c r="E65" s="119">
        <v>2020</v>
      </c>
      <c r="F65" s="193">
        <v>2021</v>
      </c>
      <c r="G65" s="193">
        <v>2022</v>
      </c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61"/>
      <c r="U65" s="161"/>
    </row>
    <row r="66" spans="1:43" customFormat="1" ht="15">
      <c r="A66" s="161"/>
      <c r="B66" s="189" t="s">
        <v>200</v>
      </c>
      <c r="C66" s="211">
        <v>200</v>
      </c>
      <c r="E66" s="212">
        <v>60000</v>
      </c>
      <c r="F66" s="627">
        <f t="shared" ref="F66:G66" si="105">E66*(1+$E$14)</f>
        <v>63000</v>
      </c>
      <c r="G66" s="627">
        <f t="shared" si="105"/>
        <v>66150</v>
      </c>
      <c r="H66" s="481">
        <f t="shared" ref="H66:AQ67" si="106">MAX(0,ROUND(H$9/$C66,))</f>
        <v>0</v>
      </c>
      <c r="I66" s="481">
        <f t="shared" si="106"/>
        <v>0</v>
      </c>
      <c r="J66" s="481">
        <f t="shared" si="106"/>
        <v>0</v>
      </c>
      <c r="K66" s="481">
        <f t="shared" si="106"/>
        <v>0</v>
      </c>
      <c r="L66" s="482">
        <f t="shared" si="106"/>
        <v>0</v>
      </c>
      <c r="M66" s="481">
        <f t="shared" si="106"/>
        <v>0</v>
      </c>
      <c r="N66" s="481">
        <f t="shared" si="106"/>
        <v>0</v>
      </c>
      <c r="O66" s="481">
        <f t="shared" si="106"/>
        <v>0</v>
      </c>
      <c r="P66" s="481">
        <f t="shared" si="106"/>
        <v>0</v>
      </c>
      <c r="Q66" s="481">
        <f t="shared" si="106"/>
        <v>0</v>
      </c>
      <c r="R66" s="481">
        <f t="shared" si="106"/>
        <v>0</v>
      </c>
      <c r="S66" s="481">
        <f t="shared" si="106"/>
        <v>0</v>
      </c>
      <c r="T66" s="481">
        <f t="shared" si="106"/>
        <v>0</v>
      </c>
      <c r="U66" s="481">
        <f t="shared" si="106"/>
        <v>0</v>
      </c>
      <c r="V66" s="481">
        <f t="shared" si="106"/>
        <v>0</v>
      </c>
      <c r="W66" s="481">
        <f t="shared" si="106"/>
        <v>0</v>
      </c>
      <c r="X66" s="481">
        <f t="shared" si="106"/>
        <v>0</v>
      </c>
      <c r="Y66" s="481">
        <f t="shared" si="106"/>
        <v>0</v>
      </c>
      <c r="Z66" s="481">
        <f t="shared" si="106"/>
        <v>1</v>
      </c>
      <c r="AA66" s="481">
        <f t="shared" si="106"/>
        <v>1</v>
      </c>
      <c r="AB66" s="481">
        <f t="shared" si="106"/>
        <v>1</v>
      </c>
      <c r="AC66" s="481">
        <f t="shared" si="106"/>
        <v>1</v>
      </c>
      <c r="AD66" s="481">
        <f t="shared" si="106"/>
        <v>1</v>
      </c>
      <c r="AE66" s="481">
        <f t="shared" si="106"/>
        <v>1</v>
      </c>
      <c r="AF66" s="481">
        <f t="shared" si="106"/>
        <v>1</v>
      </c>
      <c r="AG66" s="481">
        <f t="shared" si="106"/>
        <v>1</v>
      </c>
      <c r="AH66" s="481">
        <f t="shared" si="106"/>
        <v>2</v>
      </c>
      <c r="AI66" s="481">
        <f t="shared" si="106"/>
        <v>2</v>
      </c>
      <c r="AJ66" s="481">
        <f t="shared" si="106"/>
        <v>2</v>
      </c>
      <c r="AK66" s="481">
        <f t="shared" si="106"/>
        <v>3</v>
      </c>
      <c r="AL66" s="481">
        <f t="shared" si="106"/>
        <v>3</v>
      </c>
      <c r="AM66" s="481">
        <f t="shared" si="106"/>
        <v>3</v>
      </c>
      <c r="AN66" s="481">
        <f t="shared" si="106"/>
        <v>3</v>
      </c>
      <c r="AO66" s="481">
        <f t="shared" si="106"/>
        <v>4</v>
      </c>
      <c r="AP66" s="481">
        <f t="shared" si="106"/>
        <v>4</v>
      </c>
      <c r="AQ66" s="481">
        <f t="shared" si="106"/>
        <v>4</v>
      </c>
    </row>
    <row r="67" spans="1:43" customFormat="1" ht="15">
      <c r="A67" s="161"/>
      <c r="B67" s="189" t="s">
        <v>201</v>
      </c>
      <c r="C67" s="211">
        <v>150</v>
      </c>
      <c r="E67" s="213">
        <v>45000</v>
      </c>
      <c r="F67" s="627">
        <f t="shared" ref="F67:G67" si="107">E67*(1+$E$14)</f>
        <v>47250</v>
      </c>
      <c r="G67" s="627">
        <f t="shared" si="107"/>
        <v>49612.5</v>
      </c>
      <c r="H67" s="481">
        <f t="shared" si="106"/>
        <v>0</v>
      </c>
      <c r="I67" s="481">
        <f t="shared" si="106"/>
        <v>0</v>
      </c>
      <c r="J67" s="481">
        <f t="shared" si="106"/>
        <v>0</v>
      </c>
      <c r="K67" s="481">
        <f t="shared" si="106"/>
        <v>0</v>
      </c>
      <c r="L67" s="481">
        <f t="shared" si="106"/>
        <v>0</v>
      </c>
      <c r="M67" s="481">
        <f t="shared" si="106"/>
        <v>0</v>
      </c>
      <c r="N67" s="481">
        <f t="shared" si="106"/>
        <v>0</v>
      </c>
      <c r="O67" s="481">
        <f t="shared" si="106"/>
        <v>0</v>
      </c>
      <c r="P67" s="481">
        <f t="shared" si="106"/>
        <v>0</v>
      </c>
      <c r="Q67" s="481">
        <f t="shared" si="106"/>
        <v>0</v>
      </c>
      <c r="R67" s="481">
        <f t="shared" si="106"/>
        <v>0</v>
      </c>
      <c r="S67" s="481">
        <f t="shared" si="106"/>
        <v>0</v>
      </c>
      <c r="T67" s="481">
        <f t="shared" si="106"/>
        <v>0</v>
      </c>
      <c r="U67" s="481">
        <f t="shared" si="106"/>
        <v>0</v>
      </c>
      <c r="V67" s="481">
        <f t="shared" si="106"/>
        <v>0</v>
      </c>
      <c r="W67" s="481">
        <f t="shared" si="106"/>
        <v>0</v>
      </c>
      <c r="X67" s="481">
        <f t="shared" si="106"/>
        <v>1</v>
      </c>
      <c r="Y67" s="481">
        <f t="shared" si="106"/>
        <v>1</v>
      </c>
      <c r="Z67" s="481">
        <f t="shared" si="106"/>
        <v>1</v>
      </c>
      <c r="AA67" s="481">
        <f t="shared" si="106"/>
        <v>1</v>
      </c>
      <c r="AB67" s="481">
        <f t="shared" si="106"/>
        <v>1</v>
      </c>
      <c r="AC67" s="481">
        <f t="shared" si="106"/>
        <v>1</v>
      </c>
      <c r="AD67" s="481">
        <f t="shared" si="106"/>
        <v>1</v>
      </c>
      <c r="AE67" s="481">
        <f t="shared" si="106"/>
        <v>1</v>
      </c>
      <c r="AF67" s="481">
        <f t="shared" si="106"/>
        <v>2</v>
      </c>
      <c r="AG67" s="481">
        <f t="shared" si="106"/>
        <v>2</v>
      </c>
      <c r="AH67" s="481">
        <f t="shared" si="106"/>
        <v>2</v>
      </c>
      <c r="AI67" s="481">
        <f t="shared" si="106"/>
        <v>3</v>
      </c>
      <c r="AJ67" s="481">
        <f t="shared" si="106"/>
        <v>3</v>
      </c>
      <c r="AK67" s="481">
        <f t="shared" si="106"/>
        <v>3</v>
      </c>
      <c r="AL67" s="481">
        <f t="shared" si="106"/>
        <v>4</v>
      </c>
      <c r="AM67" s="481">
        <f t="shared" si="106"/>
        <v>4</v>
      </c>
      <c r="AN67" s="481">
        <f t="shared" si="106"/>
        <v>5</v>
      </c>
      <c r="AO67" s="481">
        <f t="shared" si="106"/>
        <v>5</v>
      </c>
      <c r="AP67" s="481">
        <f t="shared" si="106"/>
        <v>5</v>
      </c>
      <c r="AQ67" s="481">
        <f t="shared" si="106"/>
        <v>6</v>
      </c>
    </row>
    <row r="68" spans="1:43" customFormat="1" ht="15">
      <c r="B68" t="s">
        <v>420</v>
      </c>
      <c r="E68" s="213">
        <v>75000</v>
      </c>
      <c r="F68" s="627">
        <f t="shared" ref="F68:G71" si="108">E68*(1+$E$14)</f>
        <v>78750</v>
      </c>
      <c r="G68" s="627">
        <f t="shared" si="108"/>
        <v>82687.5</v>
      </c>
      <c r="H68" s="483">
        <v>1</v>
      </c>
      <c r="I68" s="481">
        <f t="shared" ref="I68:S68" si="109">H68</f>
        <v>1</v>
      </c>
      <c r="J68" s="481">
        <f t="shared" si="109"/>
        <v>1</v>
      </c>
      <c r="K68" s="481">
        <f t="shared" si="109"/>
        <v>1</v>
      </c>
      <c r="L68" s="481">
        <f t="shared" si="109"/>
        <v>1</v>
      </c>
      <c r="M68" s="481">
        <f t="shared" si="109"/>
        <v>1</v>
      </c>
      <c r="N68" s="481">
        <f t="shared" si="109"/>
        <v>1</v>
      </c>
      <c r="O68" s="481">
        <f t="shared" si="109"/>
        <v>1</v>
      </c>
      <c r="P68" s="481">
        <f t="shared" si="109"/>
        <v>1</v>
      </c>
      <c r="Q68" s="481">
        <f t="shared" si="109"/>
        <v>1</v>
      </c>
      <c r="R68" s="481">
        <f t="shared" si="109"/>
        <v>1</v>
      </c>
      <c r="S68" s="481">
        <f t="shared" si="109"/>
        <v>1</v>
      </c>
      <c r="T68" s="481">
        <f t="shared" ref="T68" si="110">S68</f>
        <v>1</v>
      </c>
      <c r="U68" s="481">
        <f t="shared" ref="U68" si="111">T68</f>
        <v>1</v>
      </c>
      <c r="V68" s="481">
        <f t="shared" ref="V68" si="112">U68</f>
        <v>1</v>
      </c>
      <c r="W68" s="481">
        <f t="shared" ref="W68" si="113">V68</f>
        <v>1</v>
      </c>
      <c r="X68" s="481">
        <f t="shared" ref="X68" si="114">W68</f>
        <v>1</v>
      </c>
      <c r="Y68" s="481">
        <f t="shared" ref="Y68" si="115">X68</f>
        <v>1</v>
      </c>
      <c r="Z68" s="481">
        <f t="shared" ref="Z68" si="116">Y68</f>
        <v>1</v>
      </c>
      <c r="AA68" s="481">
        <f t="shared" ref="AA68" si="117">Z68</f>
        <v>1</v>
      </c>
      <c r="AB68" s="481">
        <f t="shared" ref="AB68" si="118">AA68</f>
        <v>1</v>
      </c>
      <c r="AC68" s="481">
        <f t="shared" ref="AC68" si="119">AB68</f>
        <v>1</v>
      </c>
      <c r="AD68" s="481">
        <f t="shared" ref="AD68" si="120">AC68</f>
        <v>1</v>
      </c>
      <c r="AE68" s="481">
        <f t="shared" ref="AE68" si="121">AD68</f>
        <v>1</v>
      </c>
      <c r="AF68" s="481">
        <f t="shared" ref="AF68" si="122">AE68</f>
        <v>1</v>
      </c>
      <c r="AG68" s="481">
        <f t="shared" ref="AG68" si="123">AF68</f>
        <v>1</v>
      </c>
      <c r="AH68" s="481">
        <f t="shared" ref="AH68" si="124">AG68</f>
        <v>1</v>
      </c>
      <c r="AI68" s="481">
        <f t="shared" ref="AI68" si="125">AH68</f>
        <v>1</v>
      </c>
      <c r="AJ68" s="481">
        <f t="shared" ref="AJ68" si="126">AI68</f>
        <v>1</v>
      </c>
      <c r="AK68" s="481">
        <f t="shared" ref="AK68" si="127">AJ68</f>
        <v>1</v>
      </c>
      <c r="AL68" s="481">
        <f t="shared" ref="AL68" si="128">AK68</f>
        <v>1</v>
      </c>
      <c r="AM68" s="481">
        <f t="shared" ref="AM68" si="129">AL68</f>
        <v>1</v>
      </c>
      <c r="AN68" s="481">
        <f t="shared" ref="AN68" si="130">AM68</f>
        <v>1</v>
      </c>
      <c r="AO68" s="481">
        <f t="shared" ref="AO68" si="131">AN68</f>
        <v>1</v>
      </c>
      <c r="AP68" s="481">
        <f t="shared" ref="AP68" si="132">AO68</f>
        <v>1</v>
      </c>
      <c r="AQ68" s="481">
        <f t="shared" ref="AQ68" si="133">AP68</f>
        <v>1</v>
      </c>
    </row>
    <row r="69" spans="1:43" customFormat="1" ht="15">
      <c r="E69" s="438"/>
      <c r="H69" s="634"/>
      <c r="I69" s="634"/>
      <c r="J69" s="634"/>
      <c r="K69" s="634"/>
      <c r="L69" s="634"/>
      <c r="M69" s="634"/>
      <c r="N69" s="634"/>
      <c r="O69" s="634"/>
      <c r="P69" s="634"/>
      <c r="Q69" s="634"/>
      <c r="R69" s="634"/>
      <c r="S69" s="634"/>
      <c r="T69" s="484"/>
      <c r="U69" s="484"/>
      <c r="V69" s="484"/>
      <c r="W69" s="484"/>
      <c r="X69" s="484"/>
      <c r="Y69" s="484"/>
      <c r="Z69" s="484"/>
      <c r="AA69" s="484"/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4"/>
      <c r="AN69" s="484"/>
      <c r="AO69" s="484"/>
      <c r="AP69" s="484"/>
      <c r="AQ69" s="484"/>
    </row>
    <row r="70" spans="1:43" customFormat="1" ht="15">
      <c r="A70" s="161"/>
      <c r="B70" s="195" t="s">
        <v>85</v>
      </c>
      <c r="E70" s="212">
        <v>65000</v>
      </c>
      <c r="F70" s="627">
        <f t="shared" si="108"/>
        <v>68250</v>
      </c>
      <c r="G70" s="627">
        <f t="shared" si="108"/>
        <v>71662.5</v>
      </c>
      <c r="H70" s="483">
        <v>0</v>
      </c>
      <c r="I70" s="483">
        <v>0</v>
      </c>
      <c r="J70" s="483">
        <v>0</v>
      </c>
      <c r="K70" s="483">
        <v>0</v>
      </c>
      <c r="L70" s="481">
        <v>0</v>
      </c>
      <c r="M70" s="481">
        <v>0</v>
      </c>
      <c r="N70" s="483">
        <v>1</v>
      </c>
      <c r="O70" s="481">
        <f t="shared" ref="I70:S72" si="134">N70</f>
        <v>1</v>
      </c>
      <c r="P70" s="481">
        <f t="shared" si="134"/>
        <v>1</v>
      </c>
      <c r="Q70" s="481">
        <f t="shared" si="134"/>
        <v>1</v>
      </c>
      <c r="R70" s="481">
        <f t="shared" si="134"/>
        <v>1</v>
      </c>
      <c r="S70" s="481">
        <f t="shared" si="134"/>
        <v>1</v>
      </c>
      <c r="T70" s="481">
        <f t="shared" ref="T70:T78" si="135">S70</f>
        <v>1</v>
      </c>
      <c r="U70" s="481">
        <f t="shared" ref="U70:U78" si="136">T70</f>
        <v>1</v>
      </c>
      <c r="V70" s="481">
        <f t="shared" ref="V70:V78" si="137">U70</f>
        <v>1</v>
      </c>
      <c r="W70" s="481">
        <f t="shared" ref="W70:W78" si="138">V70</f>
        <v>1</v>
      </c>
      <c r="X70" s="481">
        <f t="shared" ref="X70:X78" si="139">W70</f>
        <v>1</v>
      </c>
      <c r="Y70" s="481">
        <f t="shared" ref="Y70:Y78" si="140">X70</f>
        <v>1</v>
      </c>
      <c r="Z70" s="481">
        <f t="shared" ref="Z70:Z78" si="141">Y70</f>
        <v>1</v>
      </c>
      <c r="AA70" s="481">
        <f t="shared" ref="AA70:AA78" si="142">Z70</f>
        <v>1</v>
      </c>
      <c r="AB70" s="481">
        <f t="shared" ref="AB70:AB78" si="143">AA70</f>
        <v>1</v>
      </c>
      <c r="AC70" s="481">
        <f t="shared" ref="AC70:AC78" si="144">AB70</f>
        <v>1</v>
      </c>
      <c r="AD70" s="481">
        <f t="shared" ref="AD70:AD78" si="145">AC70</f>
        <v>1</v>
      </c>
      <c r="AE70" s="481">
        <f t="shared" ref="AE70:AE78" si="146">AD70</f>
        <v>1</v>
      </c>
      <c r="AF70" s="481">
        <f t="shared" ref="AF70:AF78" si="147">AE70</f>
        <v>1</v>
      </c>
      <c r="AG70" s="481">
        <f t="shared" ref="AG70:AG78" si="148">AF70</f>
        <v>1</v>
      </c>
      <c r="AH70" s="481">
        <f t="shared" ref="AH70:AH78" si="149">AG70</f>
        <v>1</v>
      </c>
      <c r="AI70" s="481">
        <f t="shared" ref="AI70:AI78" si="150">AH70</f>
        <v>1</v>
      </c>
      <c r="AJ70" s="481">
        <f t="shared" ref="AJ70:AJ78" si="151">AI70</f>
        <v>1</v>
      </c>
      <c r="AK70" s="481">
        <f t="shared" ref="AK70:AK78" si="152">AJ70</f>
        <v>1</v>
      </c>
      <c r="AL70" s="481">
        <f t="shared" ref="AL70:AL78" si="153">AK70</f>
        <v>1</v>
      </c>
      <c r="AM70" s="481">
        <f t="shared" ref="AM70:AM78" si="154">AL70</f>
        <v>1</v>
      </c>
      <c r="AN70" s="481">
        <f t="shared" ref="AN70:AN78" si="155">AM70</f>
        <v>1</v>
      </c>
      <c r="AO70" s="481">
        <f t="shared" ref="AO70:AO78" si="156">AN70</f>
        <v>1</v>
      </c>
      <c r="AP70" s="481">
        <f t="shared" ref="AP70:AP78" si="157">AO70</f>
        <v>1</v>
      </c>
      <c r="AQ70" s="481">
        <f t="shared" ref="AQ70:AQ78" si="158">AP70</f>
        <v>1</v>
      </c>
    </row>
    <row r="71" spans="1:43" customFormat="1" ht="15">
      <c r="A71" s="161"/>
      <c r="B71" s="195" t="s">
        <v>255</v>
      </c>
      <c r="E71" s="213">
        <v>100000</v>
      </c>
      <c r="F71" s="627">
        <f t="shared" si="108"/>
        <v>105000</v>
      </c>
      <c r="G71" s="627">
        <f t="shared" si="108"/>
        <v>110250</v>
      </c>
      <c r="H71" s="483">
        <v>0</v>
      </c>
      <c r="I71" s="483">
        <v>0</v>
      </c>
      <c r="J71" s="483">
        <v>0</v>
      </c>
      <c r="K71" s="483">
        <v>1</v>
      </c>
      <c r="L71" s="483">
        <v>1</v>
      </c>
      <c r="M71" s="481">
        <f t="shared" si="134"/>
        <v>1</v>
      </c>
      <c r="N71" s="481">
        <f t="shared" si="134"/>
        <v>1</v>
      </c>
      <c r="O71" s="481">
        <f t="shared" si="134"/>
        <v>1</v>
      </c>
      <c r="P71" s="481">
        <f t="shared" si="134"/>
        <v>1</v>
      </c>
      <c r="Q71" s="481">
        <f t="shared" si="134"/>
        <v>1</v>
      </c>
      <c r="R71" s="481">
        <f t="shared" si="134"/>
        <v>1</v>
      </c>
      <c r="S71" s="481">
        <f t="shared" si="134"/>
        <v>1</v>
      </c>
      <c r="T71" s="481">
        <f t="shared" si="135"/>
        <v>1</v>
      </c>
      <c r="U71" s="481">
        <f t="shared" si="136"/>
        <v>1</v>
      </c>
      <c r="V71" s="481">
        <f t="shared" si="137"/>
        <v>1</v>
      </c>
      <c r="W71" s="481">
        <f t="shared" si="138"/>
        <v>1</v>
      </c>
      <c r="X71" s="481">
        <f t="shared" si="139"/>
        <v>1</v>
      </c>
      <c r="Y71" s="481">
        <f t="shared" si="140"/>
        <v>1</v>
      </c>
      <c r="Z71" s="481">
        <f t="shared" si="141"/>
        <v>1</v>
      </c>
      <c r="AA71" s="481">
        <f t="shared" si="142"/>
        <v>1</v>
      </c>
      <c r="AB71" s="481">
        <f t="shared" si="143"/>
        <v>1</v>
      </c>
      <c r="AC71" s="481">
        <f t="shared" si="144"/>
        <v>1</v>
      </c>
      <c r="AD71" s="481">
        <f t="shared" si="145"/>
        <v>1</v>
      </c>
      <c r="AE71" s="481">
        <f t="shared" si="146"/>
        <v>1</v>
      </c>
      <c r="AF71" s="481">
        <f t="shared" si="147"/>
        <v>1</v>
      </c>
      <c r="AG71" s="481">
        <f t="shared" si="148"/>
        <v>1</v>
      </c>
      <c r="AH71" s="481">
        <f t="shared" si="149"/>
        <v>1</v>
      </c>
      <c r="AI71" s="481">
        <f t="shared" si="150"/>
        <v>1</v>
      </c>
      <c r="AJ71" s="481">
        <f t="shared" si="151"/>
        <v>1</v>
      </c>
      <c r="AK71" s="481">
        <f t="shared" si="152"/>
        <v>1</v>
      </c>
      <c r="AL71" s="481">
        <f t="shared" si="153"/>
        <v>1</v>
      </c>
      <c r="AM71" s="481">
        <f t="shared" si="154"/>
        <v>1</v>
      </c>
      <c r="AN71" s="481">
        <f t="shared" si="155"/>
        <v>1</v>
      </c>
      <c r="AO71" s="481">
        <f t="shared" si="156"/>
        <v>1</v>
      </c>
      <c r="AP71" s="481">
        <f t="shared" si="157"/>
        <v>1</v>
      </c>
      <c r="AQ71" s="481">
        <f t="shared" si="158"/>
        <v>1</v>
      </c>
    </row>
    <row r="72" spans="1:43" customFormat="1" ht="15">
      <c r="A72" s="161"/>
      <c r="B72" s="195" t="s">
        <v>254</v>
      </c>
      <c r="E72" s="213">
        <v>65000</v>
      </c>
      <c r="F72" s="627">
        <f t="shared" ref="F72:G72" si="159">E72*(1+$E$14)</f>
        <v>68250</v>
      </c>
      <c r="G72" s="627">
        <f t="shared" si="159"/>
        <v>71662.5</v>
      </c>
      <c r="H72" s="483">
        <v>0</v>
      </c>
      <c r="I72" s="481">
        <f t="shared" si="134"/>
        <v>0</v>
      </c>
      <c r="J72" s="483">
        <v>0</v>
      </c>
      <c r="K72" s="481">
        <f t="shared" si="134"/>
        <v>0</v>
      </c>
      <c r="L72" s="483">
        <v>1</v>
      </c>
      <c r="M72" s="481">
        <f t="shared" si="134"/>
        <v>1</v>
      </c>
      <c r="N72" s="481">
        <f t="shared" si="134"/>
        <v>1</v>
      </c>
      <c r="O72" s="481">
        <f t="shared" si="134"/>
        <v>1</v>
      </c>
      <c r="P72" s="481">
        <f t="shared" si="134"/>
        <v>1</v>
      </c>
      <c r="Q72" s="481">
        <f t="shared" si="134"/>
        <v>1</v>
      </c>
      <c r="R72" s="481">
        <f t="shared" si="134"/>
        <v>1</v>
      </c>
      <c r="S72" s="481">
        <f t="shared" si="134"/>
        <v>1</v>
      </c>
      <c r="T72" s="481">
        <f t="shared" si="135"/>
        <v>1</v>
      </c>
      <c r="U72" s="481">
        <f t="shared" si="136"/>
        <v>1</v>
      </c>
      <c r="V72" s="481">
        <f t="shared" si="137"/>
        <v>1</v>
      </c>
      <c r="W72" s="481">
        <f t="shared" si="138"/>
        <v>1</v>
      </c>
      <c r="X72" s="481">
        <f t="shared" si="139"/>
        <v>1</v>
      </c>
      <c r="Y72" s="481">
        <f t="shared" si="140"/>
        <v>1</v>
      </c>
      <c r="Z72" s="481">
        <f t="shared" si="141"/>
        <v>1</v>
      </c>
      <c r="AA72" s="481">
        <f t="shared" si="142"/>
        <v>1</v>
      </c>
      <c r="AB72" s="481">
        <f t="shared" si="143"/>
        <v>1</v>
      </c>
      <c r="AC72" s="481">
        <f t="shared" si="144"/>
        <v>1</v>
      </c>
      <c r="AD72" s="481">
        <f t="shared" si="145"/>
        <v>1</v>
      </c>
      <c r="AE72" s="481">
        <f t="shared" si="146"/>
        <v>1</v>
      </c>
      <c r="AF72" s="481">
        <f t="shared" si="147"/>
        <v>1</v>
      </c>
      <c r="AG72" s="481">
        <f t="shared" si="148"/>
        <v>1</v>
      </c>
      <c r="AH72" s="481">
        <f t="shared" si="149"/>
        <v>1</v>
      </c>
      <c r="AI72" s="481">
        <f t="shared" si="150"/>
        <v>1</v>
      </c>
      <c r="AJ72" s="481">
        <f t="shared" si="151"/>
        <v>1</v>
      </c>
      <c r="AK72" s="481">
        <f t="shared" si="152"/>
        <v>1</v>
      </c>
      <c r="AL72" s="481">
        <f t="shared" si="153"/>
        <v>1</v>
      </c>
      <c r="AM72" s="481">
        <f t="shared" si="154"/>
        <v>1</v>
      </c>
      <c r="AN72" s="481">
        <f t="shared" si="155"/>
        <v>1</v>
      </c>
      <c r="AO72" s="481">
        <f t="shared" si="156"/>
        <v>1</v>
      </c>
      <c r="AP72" s="481">
        <f t="shared" si="157"/>
        <v>1</v>
      </c>
      <c r="AQ72" s="481">
        <f t="shared" si="158"/>
        <v>1</v>
      </c>
    </row>
    <row r="73" spans="1:43" customFormat="1" ht="15">
      <c r="A73" s="161"/>
      <c r="B73" s="195" t="s">
        <v>86</v>
      </c>
      <c r="E73" s="213">
        <v>65000</v>
      </c>
      <c r="F73" s="627">
        <f t="shared" ref="F73:G73" si="160">E73*(1+$E$14)</f>
        <v>68250</v>
      </c>
      <c r="G73" s="627">
        <f t="shared" si="160"/>
        <v>71662.5</v>
      </c>
      <c r="H73" s="483">
        <v>0</v>
      </c>
      <c r="I73" s="481">
        <f t="shared" ref="I73:S74" si="161">H73</f>
        <v>0</v>
      </c>
      <c r="J73" s="483">
        <v>0</v>
      </c>
      <c r="K73" s="481">
        <f t="shared" si="161"/>
        <v>0</v>
      </c>
      <c r="L73" s="483">
        <v>1</v>
      </c>
      <c r="M73" s="481">
        <f t="shared" si="161"/>
        <v>1</v>
      </c>
      <c r="N73" s="481">
        <f t="shared" si="161"/>
        <v>1</v>
      </c>
      <c r="O73" s="481">
        <f t="shared" si="161"/>
        <v>1</v>
      </c>
      <c r="P73" s="481">
        <f t="shared" si="161"/>
        <v>1</v>
      </c>
      <c r="Q73" s="481">
        <f t="shared" si="161"/>
        <v>1</v>
      </c>
      <c r="R73" s="481">
        <f t="shared" si="161"/>
        <v>1</v>
      </c>
      <c r="S73" s="481">
        <f t="shared" si="161"/>
        <v>1</v>
      </c>
      <c r="T73" s="481">
        <f t="shared" si="135"/>
        <v>1</v>
      </c>
      <c r="U73" s="481">
        <f t="shared" si="136"/>
        <v>1</v>
      </c>
      <c r="V73" s="481">
        <f t="shared" si="137"/>
        <v>1</v>
      </c>
      <c r="W73" s="481">
        <f t="shared" si="138"/>
        <v>1</v>
      </c>
      <c r="X73" s="481">
        <f t="shared" si="139"/>
        <v>1</v>
      </c>
      <c r="Y73" s="481">
        <f t="shared" si="140"/>
        <v>1</v>
      </c>
      <c r="Z73" s="481">
        <f t="shared" si="141"/>
        <v>1</v>
      </c>
      <c r="AA73" s="481">
        <f t="shared" si="142"/>
        <v>1</v>
      </c>
      <c r="AB73" s="481">
        <f t="shared" si="143"/>
        <v>1</v>
      </c>
      <c r="AC73" s="481">
        <f t="shared" si="144"/>
        <v>1</v>
      </c>
      <c r="AD73" s="481">
        <f t="shared" si="145"/>
        <v>1</v>
      </c>
      <c r="AE73" s="481">
        <f t="shared" si="146"/>
        <v>1</v>
      </c>
      <c r="AF73" s="481">
        <f t="shared" si="147"/>
        <v>1</v>
      </c>
      <c r="AG73" s="481">
        <f t="shared" si="148"/>
        <v>1</v>
      </c>
      <c r="AH73" s="481">
        <f t="shared" si="149"/>
        <v>1</v>
      </c>
      <c r="AI73" s="481">
        <f t="shared" si="150"/>
        <v>1</v>
      </c>
      <c r="AJ73" s="481">
        <f t="shared" si="151"/>
        <v>1</v>
      </c>
      <c r="AK73" s="481">
        <f t="shared" si="152"/>
        <v>1</v>
      </c>
      <c r="AL73" s="481">
        <f t="shared" si="153"/>
        <v>1</v>
      </c>
      <c r="AM73" s="481">
        <f t="shared" si="154"/>
        <v>1</v>
      </c>
      <c r="AN73" s="481">
        <f t="shared" si="155"/>
        <v>1</v>
      </c>
      <c r="AO73" s="481">
        <f t="shared" si="156"/>
        <v>1</v>
      </c>
      <c r="AP73" s="481">
        <f t="shared" si="157"/>
        <v>1</v>
      </c>
      <c r="AQ73" s="481">
        <f t="shared" si="158"/>
        <v>1</v>
      </c>
    </row>
    <row r="74" spans="1:43" customFormat="1" ht="15">
      <c r="A74" s="161"/>
      <c r="B74" s="195" t="s">
        <v>87</v>
      </c>
      <c r="E74" s="213">
        <v>65000</v>
      </c>
      <c r="F74" s="627">
        <f t="shared" ref="F74:G74" si="162">E74*(1+$E$14)</f>
        <v>68250</v>
      </c>
      <c r="G74" s="627">
        <f t="shared" si="162"/>
        <v>71662.5</v>
      </c>
      <c r="H74" s="483">
        <v>0</v>
      </c>
      <c r="I74" s="481">
        <f t="shared" ref="I74:S74" si="163">H74</f>
        <v>0</v>
      </c>
      <c r="J74" s="481">
        <f t="shared" ref="J74:K74" si="164">I74</f>
        <v>0</v>
      </c>
      <c r="K74" s="481">
        <f t="shared" si="164"/>
        <v>0</v>
      </c>
      <c r="L74" s="483">
        <v>1</v>
      </c>
      <c r="M74" s="481">
        <f t="shared" si="161"/>
        <v>1</v>
      </c>
      <c r="N74" s="481">
        <f t="shared" si="161"/>
        <v>1</v>
      </c>
      <c r="O74" s="481">
        <f t="shared" si="161"/>
        <v>1</v>
      </c>
      <c r="P74" s="481">
        <f t="shared" si="163"/>
        <v>1</v>
      </c>
      <c r="Q74" s="481">
        <f t="shared" si="163"/>
        <v>1</v>
      </c>
      <c r="R74" s="481">
        <f t="shared" si="163"/>
        <v>1</v>
      </c>
      <c r="S74" s="481">
        <f t="shared" si="163"/>
        <v>1</v>
      </c>
      <c r="T74" s="481">
        <f t="shared" si="135"/>
        <v>1</v>
      </c>
      <c r="U74" s="481">
        <f t="shared" si="136"/>
        <v>1</v>
      </c>
      <c r="V74" s="481">
        <f t="shared" si="137"/>
        <v>1</v>
      </c>
      <c r="W74" s="481">
        <f t="shared" si="138"/>
        <v>1</v>
      </c>
      <c r="X74" s="481">
        <f t="shared" si="139"/>
        <v>1</v>
      </c>
      <c r="Y74" s="481">
        <f t="shared" si="140"/>
        <v>1</v>
      </c>
      <c r="Z74" s="481">
        <f t="shared" si="141"/>
        <v>1</v>
      </c>
      <c r="AA74" s="481">
        <f t="shared" si="142"/>
        <v>1</v>
      </c>
      <c r="AB74" s="481">
        <f t="shared" si="143"/>
        <v>1</v>
      </c>
      <c r="AC74" s="481">
        <f t="shared" si="144"/>
        <v>1</v>
      </c>
      <c r="AD74" s="481">
        <f t="shared" si="145"/>
        <v>1</v>
      </c>
      <c r="AE74" s="481">
        <f t="shared" si="146"/>
        <v>1</v>
      </c>
      <c r="AF74" s="481">
        <f t="shared" si="147"/>
        <v>1</v>
      </c>
      <c r="AG74" s="481">
        <f t="shared" si="148"/>
        <v>1</v>
      </c>
      <c r="AH74" s="481">
        <f t="shared" si="149"/>
        <v>1</v>
      </c>
      <c r="AI74" s="481">
        <f t="shared" si="150"/>
        <v>1</v>
      </c>
      <c r="AJ74" s="481">
        <f t="shared" si="151"/>
        <v>1</v>
      </c>
      <c r="AK74" s="481">
        <f t="shared" si="152"/>
        <v>1</v>
      </c>
      <c r="AL74" s="481">
        <f t="shared" si="153"/>
        <v>1</v>
      </c>
      <c r="AM74" s="481">
        <f t="shared" si="154"/>
        <v>1</v>
      </c>
      <c r="AN74" s="481">
        <f t="shared" si="155"/>
        <v>1</v>
      </c>
      <c r="AO74" s="481">
        <f t="shared" si="156"/>
        <v>1</v>
      </c>
      <c r="AP74" s="481">
        <f t="shared" si="157"/>
        <v>1</v>
      </c>
      <c r="AQ74" s="481">
        <f t="shared" si="158"/>
        <v>1</v>
      </c>
    </row>
    <row r="75" spans="1:43" customFormat="1" ht="15">
      <c r="A75" s="161"/>
      <c r="B75" s="195" t="s">
        <v>219</v>
      </c>
      <c r="E75" s="213">
        <v>55000</v>
      </c>
      <c r="F75" s="627">
        <f t="shared" ref="F75:G75" si="165">E75*(1+$E$14)</f>
        <v>57750</v>
      </c>
      <c r="G75" s="627">
        <f t="shared" si="165"/>
        <v>60637.5</v>
      </c>
      <c r="H75" s="483">
        <v>0</v>
      </c>
      <c r="I75" s="481">
        <f t="shared" ref="I75:S75" si="166">H75</f>
        <v>0</v>
      </c>
      <c r="J75" s="481">
        <v>1</v>
      </c>
      <c r="K75" s="481">
        <f t="shared" si="166"/>
        <v>1</v>
      </c>
      <c r="L75" s="481">
        <f t="shared" si="166"/>
        <v>1</v>
      </c>
      <c r="M75" s="481">
        <f t="shared" si="166"/>
        <v>1</v>
      </c>
      <c r="N75" s="481">
        <f t="shared" si="166"/>
        <v>1</v>
      </c>
      <c r="O75" s="481">
        <f t="shared" si="166"/>
        <v>1</v>
      </c>
      <c r="P75" s="481">
        <f t="shared" si="166"/>
        <v>1</v>
      </c>
      <c r="Q75" s="481">
        <f t="shared" si="166"/>
        <v>1</v>
      </c>
      <c r="R75" s="481">
        <f t="shared" si="166"/>
        <v>1</v>
      </c>
      <c r="S75" s="481">
        <f t="shared" si="166"/>
        <v>1</v>
      </c>
      <c r="T75" s="481">
        <f t="shared" si="135"/>
        <v>1</v>
      </c>
      <c r="U75" s="481">
        <f t="shared" si="136"/>
        <v>1</v>
      </c>
      <c r="V75" s="481">
        <f t="shared" si="137"/>
        <v>1</v>
      </c>
      <c r="W75" s="481">
        <f t="shared" si="138"/>
        <v>1</v>
      </c>
      <c r="X75" s="481">
        <f t="shared" si="139"/>
        <v>1</v>
      </c>
      <c r="Y75" s="481">
        <f t="shared" si="140"/>
        <v>1</v>
      </c>
      <c r="Z75" s="481">
        <f t="shared" si="141"/>
        <v>1</v>
      </c>
      <c r="AA75" s="481">
        <f t="shared" si="142"/>
        <v>1</v>
      </c>
      <c r="AB75" s="481">
        <f t="shared" si="143"/>
        <v>1</v>
      </c>
      <c r="AC75" s="481">
        <f t="shared" si="144"/>
        <v>1</v>
      </c>
      <c r="AD75" s="481">
        <f t="shared" si="145"/>
        <v>1</v>
      </c>
      <c r="AE75" s="481">
        <f t="shared" si="146"/>
        <v>1</v>
      </c>
      <c r="AF75" s="481">
        <f t="shared" si="147"/>
        <v>1</v>
      </c>
      <c r="AG75" s="481">
        <f t="shared" si="148"/>
        <v>1</v>
      </c>
      <c r="AH75" s="481">
        <f t="shared" si="149"/>
        <v>1</v>
      </c>
      <c r="AI75" s="481">
        <f t="shared" si="150"/>
        <v>1</v>
      </c>
      <c r="AJ75" s="481">
        <f t="shared" si="151"/>
        <v>1</v>
      </c>
      <c r="AK75" s="481">
        <f t="shared" si="152"/>
        <v>1</v>
      </c>
      <c r="AL75" s="481">
        <f t="shared" si="153"/>
        <v>1</v>
      </c>
      <c r="AM75" s="481">
        <f t="shared" si="154"/>
        <v>1</v>
      </c>
      <c r="AN75" s="481">
        <f t="shared" si="155"/>
        <v>1</v>
      </c>
      <c r="AO75" s="481">
        <f t="shared" si="156"/>
        <v>1</v>
      </c>
      <c r="AP75" s="481">
        <f t="shared" si="157"/>
        <v>1</v>
      </c>
      <c r="AQ75" s="481">
        <f t="shared" si="158"/>
        <v>1</v>
      </c>
    </row>
    <row r="76" spans="1:43" customFormat="1" ht="17.25">
      <c r="A76" s="161"/>
      <c r="B76" s="195" t="s">
        <v>217</v>
      </c>
      <c r="E76" s="213">
        <v>65000</v>
      </c>
      <c r="F76" s="627">
        <f t="shared" ref="F76:G76" si="167">E76*(1+$E$14)</f>
        <v>68250</v>
      </c>
      <c r="G76" s="627">
        <f t="shared" si="167"/>
        <v>71662.5</v>
      </c>
      <c r="H76" s="483"/>
      <c r="I76" s="481"/>
      <c r="J76" s="481"/>
      <c r="K76" s="481"/>
      <c r="L76" s="483"/>
      <c r="M76" s="481"/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481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1"/>
    </row>
    <row r="77" spans="1:43" customFormat="1" ht="15">
      <c r="A77" s="161"/>
      <c r="B77" s="195" t="s">
        <v>221</v>
      </c>
      <c r="E77" s="213">
        <v>130000</v>
      </c>
      <c r="F77" s="627">
        <f t="shared" ref="F77:G77" si="168">E77*(1+$E$14)</f>
        <v>136500</v>
      </c>
      <c r="G77" s="627">
        <f t="shared" si="168"/>
        <v>143325</v>
      </c>
      <c r="H77" s="483">
        <v>1</v>
      </c>
      <c r="I77" s="481">
        <f t="shared" ref="I77:S77" si="169">H77</f>
        <v>1</v>
      </c>
      <c r="J77" s="481">
        <f t="shared" si="169"/>
        <v>1</v>
      </c>
      <c r="K77" s="481">
        <f t="shared" si="169"/>
        <v>1</v>
      </c>
      <c r="L77" s="481">
        <f t="shared" si="169"/>
        <v>1</v>
      </c>
      <c r="M77" s="481">
        <f t="shared" si="169"/>
        <v>1</v>
      </c>
      <c r="N77" s="481">
        <f t="shared" si="169"/>
        <v>1</v>
      </c>
      <c r="O77" s="481">
        <f t="shared" si="169"/>
        <v>1</v>
      </c>
      <c r="P77" s="481">
        <f t="shared" si="169"/>
        <v>1</v>
      </c>
      <c r="Q77" s="481">
        <f t="shared" si="169"/>
        <v>1</v>
      </c>
      <c r="R77" s="481">
        <f t="shared" si="169"/>
        <v>1</v>
      </c>
      <c r="S77" s="481">
        <f t="shared" si="169"/>
        <v>1</v>
      </c>
      <c r="T77" s="481">
        <f t="shared" si="135"/>
        <v>1</v>
      </c>
      <c r="U77" s="481">
        <f t="shared" si="136"/>
        <v>1</v>
      </c>
      <c r="V77" s="481">
        <f t="shared" si="137"/>
        <v>1</v>
      </c>
      <c r="W77" s="481">
        <f t="shared" si="138"/>
        <v>1</v>
      </c>
      <c r="X77" s="481">
        <f t="shared" si="139"/>
        <v>1</v>
      </c>
      <c r="Y77" s="481">
        <f t="shared" si="140"/>
        <v>1</v>
      </c>
      <c r="Z77" s="481">
        <f t="shared" si="141"/>
        <v>1</v>
      </c>
      <c r="AA77" s="481">
        <f t="shared" si="142"/>
        <v>1</v>
      </c>
      <c r="AB77" s="481">
        <f t="shared" si="143"/>
        <v>1</v>
      </c>
      <c r="AC77" s="481">
        <f t="shared" si="144"/>
        <v>1</v>
      </c>
      <c r="AD77" s="481">
        <f t="shared" si="145"/>
        <v>1</v>
      </c>
      <c r="AE77" s="481">
        <f t="shared" si="146"/>
        <v>1</v>
      </c>
      <c r="AF77" s="481">
        <f t="shared" si="147"/>
        <v>1</v>
      </c>
      <c r="AG77" s="481">
        <f t="shared" si="148"/>
        <v>1</v>
      </c>
      <c r="AH77" s="481">
        <f t="shared" si="149"/>
        <v>1</v>
      </c>
      <c r="AI77" s="481">
        <f t="shared" si="150"/>
        <v>1</v>
      </c>
      <c r="AJ77" s="481">
        <f t="shared" si="151"/>
        <v>1</v>
      </c>
      <c r="AK77" s="481">
        <f t="shared" si="152"/>
        <v>1</v>
      </c>
      <c r="AL77" s="481">
        <f t="shared" si="153"/>
        <v>1</v>
      </c>
      <c r="AM77" s="481">
        <f t="shared" si="154"/>
        <v>1</v>
      </c>
      <c r="AN77" s="481">
        <f t="shared" si="155"/>
        <v>1</v>
      </c>
      <c r="AO77" s="481">
        <f t="shared" si="156"/>
        <v>1</v>
      </c>
      <c r="AP77" s="481">
        <f t="shared" si="157"/>
        <v>1</v>
      </c>
      <c r="AQ77" s="481">
        <f t="shared" si="158"/>
        <v>1</v>
      </c>
    </row>
    <row r="78" spans="1:43" customFormat="1" ht="15">
      <c r="A78" s="161"/>
      <c r="B78" s="195" t="s">
        <v>366</v>
      </c>
      <c r="E78" s="213">
        <v>85000</v>
      </c>
      <c r="F78" s="627">
        <f t="shared" ref="F78:G78" si="170">E78*(1+$E$14)</f>
        <v>89250</v>
      </c>
      <c r="G78" s="627">
        <f t="shared" si="170"/>
        <v>93712.5</v>
      </c>
      <c r="H78" s="483">
        <v>1</v>
      </c>
      <c r="I78" s="481">
        <f t="shared" ref="I78:S78" si="171">H78</f>
        <v>1</v>
      </c>
      <c r="J78" s="481">
        <v>1</v>
      </c>
      <c r="K78" s="481">
        <f t="shared" si="171"/>
        <v>1</v>
      </c>
      <c r="L78" s="481">
        <f t="shared" si="171"/>
        <v>1</v>
      </c>
      <c r="M78" s="481">
        <f t="shared" si="171"/>
        <v>1</v>
      </c>
      <c r="N78" s="481">
        <f t="shared" si="171"/>
        <v>1</v>
      </c>
      <c r="O78" s="481">
        <f t="shared" si="171"/>
        <v>1</v>
      </c>
      <c r="P78" s="481">
        <f t="shared" si="171"/>
        <v>1</v>
      </c>
      <c r="Q78" s="481">
        <f t="shared" si="171"/>
        <v>1</v>
      </c>
      <c r="R78" s="481">
        <f t="shared" si="171"/>
        <v>1</v>
      </c>
      <c r="S78" s="481">
        <f t="shared" si="171"/>
        <v>1</v>
      </c>
      <c r="T78" s="481">
        <f t="shared" si="135"/>
        <v>1</v>
      </c>
      <c r="U78" s="481">
        <f t="shared" si="136"/>
        <v>1</v>
      </c>
      <c r="V78" s="481">
        <f t="shared" si="137"/>
        <v>1</v>
      </c>
      <c r="W78" s="481">
        <f t="shared" si="138"/>
        <v>1</v>
      </c>
      <c r="X78" s="481">
        <f t="shared" si="139"/>
        <v>1</v>
      </c>
      <c r="Y78" s="481">
        <f t="shared" si="140"/>
        <v>1</v>
      </c>
      <c r="Z78" s="481">
        <f t="shared" si="141"/>
        <v>1</v>
      </c>
      <c r="AA78" s="481">
        <f t="shared" si="142"/>
        <v>1</v>
      </c>
      <c r="AB78" s="481">
        <f t="shared" si="143"/>
        <v>1</v>
      </c>
      <c r="AC78" s="481">
        <f t="shared" si="144"/>
        <v>1</v>
      </c>
      <c r="AD78" s="481">
        <f t="shared" si="145"/>
        <v>1</v>
      </c>
      <c r="AE78" s="481">
        <f t="shared" si="146"/>
        <v>1</v>
      </c>
      <c r="AF78" s="481">
        <f t="shared" si="147"/>
        <v>1</v>
      </c>
      <c r="AG78" s="481">
        <f t="shared" si="148"/>
        <v>1</v>
      </c>
      <c r="AH78" s="481">
        <f t="shared" si="149"/>
        <v>1</v>
      </c>
      <c r="AI78" s="481">
        <f t="shared" si="150"/>
        <v>1</v>
      </c>
      <c r="AJ78" s="481">
        <f t="shared" si="151"/>
        <v>1</v>
      </c>
      <c r="AK78" s="481">
        <f t="shared" si="152"/>
        <v>1</v>
      </c>
      <c r="AL78" s="481">
        <f t="shared" si="153"/>
        <v>1</v>
      </c>
      <c r="AM78" s="481">
        <f t="shared" si="154"/>
        <v>1</v>
      </c>
      <c r="AN78" s="481">
        <f t="shared" si="155"/>
        <v>1</v>
      </c>
      <c r="AO78" s="481">
        <f t="shared" si="156"/>
        <v>1</v>
      </c>
      <c r="AP78" s="481">
        <f t="shared" si="157"/>
        <v>1</v>
      </c>
      <c r="AQ78" s="481">
        <f t="shared" si="158"/>
        <v>1</v>
      </c>
    </row>
    <row r="79" spans="1:43" customFormat="1" ht="15">
      <c r="A79" s="161"/>
      <c r="B79" s="151" t="s">
        <v>225</v>
      </c>
      <c r="C79" s="151"/>
      <c r="D79" s="151"/>
      <c r="E79" s="117"/>
      <c r="F79" s="117"/>
      <c r="G79" s="442"/>
      <c r="H79" s="197">
        <f>IF(H$4=2020,SUMPRODUCT($E66:$E78,H66:H78)/12,IF(H$4=2021,SUMPRODUCT($F66:$F78,H66:H78)/12,IF(H$4=2022,SUMPRODUCT($G66:$G78,H66:H78)/12)))</f>
        <v>24166.666666666668</v>
      </c>
      <c r="I79" s="197">
        <f t="shared" ref="I79:AQ79" si="172">IF(I$4=2020,SUMPRODUCT($E66:$E78,I66:I78)/12,IF(I$4=2021,SUMPRODUCT($F66:$F78,I66:I78)/12,IF(I$4=2022,SUMPRODUCT($G66:$G78,I66:I78)/12)))</f>
        <v>24166.666666666668</v>
      </c>
      <c r="J79" s="197">
        <f t="shared" si="172"/>
        <v>28750</v>
      </c>
      <c r="K79" s="197">
        <f t="shared" si="172"/>
        <v>37083.333333333336</v>
      </c>
      <c r="L79" s="197">
        <f t="shared" si="172"/>
        <v>53333.333333333336</v>
      </c>
      <c r="M79" s="197">
        <f t="shared" si="172"/>
        <v>53333.333333333336</v>
      </c>
      <c r="N79" s="197">
        <f t="shared" si="172"/>
        <v>58750</v>
      </c>
      <c r="O79" s="197">
        <f t="shared" si="172"/>
        <v>58750</v>
      </c>
      <c r="P79" s="197">
        <f t="shared" si="172"/>
        <v>58750</v>
      </c>
      <c r="Q79" s="197">
        <f t="shared" si="172"/>
        <v>58750</v>
      </c>
      <c r="R79" s="197">
        <f t="shared" si="172"/>
        <v>58750</v>
      </c>
      <c r="S79" s="197">
        <f t="shared" si="172"/>
        <v>58750</v>
      </c>
      <c r="T79" s="197">
        <f t="shared" si="172"/>
        <v>61687.5</v>
      </c>
      <c r="U79" s="197">
        <f t="shared" si="172"/>
        <v>61687.5</v>
      </c>
      <c r="V79" s="197">
        <f t="shared" si="172"/>
        <v>61687.5</v>
      </c>
      <c r="W79" s="197">
        <f t="shared" si="172"/>
        <v>61687.5</v>
      </c>
      <c r="X79" s="197">
        <f t="shared" si="172"/>
        <v>65625</v>
      </c>
      <c r="Y79" s="197">
        <f t="shared" si="172"/>
        <v>65625</v>
      </c>
      <c r="Z79" s="197">
        <f t="shared" si="172"/>
        <v>70875</v>
      </c>
      <c r="AA79" s="197">
        <f t="shared" si="172"/>
        <v>70875</v>
      </c>
      <c r="AB79" s="197">
        <f t="shared" si="172"/>
        <v>70875</v>
      </c>
      <c r="AC79" s="197">
        <f t="shared" si="172"/>
        <v>70875</v>
      </c>
      <c r="AD79" s="197">
        <f t="shared" si="172"/>
        <v>70875</v>
      </c>
      <c r="AE79" s="197">
        <f t="shared" si="172"/>
        <v>70875</v>
      </c>
      <c r="AF79" s="197">
        <f t="shared" si="172"/>
        <v>78553.125</v>
      </c>
      <c r="AG79" s="197">
        <f t="shared" si="172"/>
        <v>78553.125</v>
      </c>
      <c r="AH79" s="197">
        <f t="shared" si="172"/>
        <v>84065.625</v>
      </c>
      <c r="AI79" s="197">
        <f t="shared" si="172"/>
        <v>88200</v>
      </c>
      <c r="AJ79" s="197">
        <f t="shared" si="172"/>
        <v>88200</v>
      </c>
      <c r="AK79" s="197">
        <f t="shared" si="172"/>
        <v>93712.5</v>
      </c>
      <c r="AL79" s="197">
        <f t="shared" si="172"/>
        <v>97846.875</v>
      </c>
      <c r="AM79" s="197">
        <f t="shared" si="172"/>
        <v>97846.875</v>
      </c>
      <c r="AN79" s="197">
        <f t="shared" si="172"/>
        <v>101981.25</v>
      </c>
      <c r="AO79" s="197">
        <f t="shared" si="172"/>
        <v>107493.75</v>
      </c>
      <c r="AP79" s="197">
        <f t="shared" si="172"/>
        <v>107493.75</v>
      </c>
      <c r="AQ79" s="197">
        <f t="shared" si="172"/>
        <v>111628.125</v>
      </c>
    </row>
    <row r="80" spans="1:43" customFormat="1" ht="15">
      <c r="A80" s="5"/>
      <c r="B80" s="10"/>
      <c r="C80" s="10"/>
      <c r="D80" s="10"/>
      <c r="E80" s="122"/>
      <c r="F80" s="122"/>
      <c r="G80" s="122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5"/>
      <c r="U80" s="5"/>
    </row>
    <row r="81" spans="1:43" customFormat="1" ht="15">
      <c r="A81" s="46" t="s">
        <v>47</v>
      </c>
      <c r="B81" s="18" t="s">
        <v>202</v>
      </c>
      <c r="C81" s="118"/>
      <c r="D81" s="118"/>
      <c r="E81" s="121"/>
      <c r="F81" s="121"/>
      <c r="G81" s="440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46"/>
      <c r="U81" s="46"/>
    </row>
    <row r="82" spans="1:43" customFormat="1" ht="15">
      <c r="A82" s="46"/>
      <c r="B82" s="18"/>
      <c r="C82" s="118"/>
      <c r="D82" s="118"/>
      <c r="E82" s="121"/>
      <c r="F82" s="121"/>
      <c r="G82" s="440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46"/>
      <c r="U82" s="46"/>
    </row>
    <row r="83" spans="1:43" s="46" customFormat="1" ht="15">
      <c r="B83" s="219" t="s">
        <v>61</v>
      </c>
      <c r="C83" s="118"/>
      <c r="D83" s="118"/>
      <c r="E83" s="119"/>
      <c r="F83" s="119"/>
      <c r="G83" s="440"/>
      <c r="H83" s="120">
        <f t="shared" ref="H83:AQ83" si="173">SUM(H85:H87)</f>
        <v>0</v>
      </c>
      <c r="I83" s="120">
        <f t="shared" si="173"/>
        <v>0</v>
      </c>
      <c r="J83" s="120">
        <f t="shared" si="173"/>
        <v>1</v>
      </c>
      <c r="K83" s="120">
        <f t="shared" si="173"/>
        <v>1</v>
      </c>
      <c r="L83" s="120">
        <f t="shared" si="173"/>
        <v>2</v>
      </c>
      <c r="M83" s="120">
        <f t="shared" si="173"/>
        <v>2</v>
      </c>
      <c r="N83" s="120">
        <f t="shared" si="173"/>
        <v>4</v>
      </c>
      <c r="O83" s="120">
        <f t="shared" si="173"/>
        <v>4</v>
      </c>
      <c r="P83" s="120">
        <f t="shared" si="173"/>
        <v>5</v>
      </c>
      <c r="Q83" s="120">
        <f t="shared" si="173"/>
        <v>5</v>
      </c>
      <c r="R83" s="120">
        <f t="shared" si="173"/>
        <v>5</v>
      </c>
      <c r="S83" s="120">
        <f t="shared" si="173"/>
        <v>5</v>
      </c>
      <c r="T83" s="120">
        <f t="shared" si="173"/>
        <v>6</v>
      </c>
      <c r="U83" s="120">
        <f t="shared" si="173"/>
        <v>6</v>
      </c>
      <c r="V83" s="120">
        <f t="shared" si="173"/>
        <v>6</v>
      </c>
      <c r="W83" s="120">
        <f t="shared" si="173"/>
        <v>6</v>
      </c>
      <c r="X83" s="120">
        <f t="shared" si="173"/>
        <v>6</v>
      </c>
      <c r="Y83" s="120">
        <f t="shared" si="173"/>
        <v>6</v>
      </c>
      <c r="Z83" s="120">
        <f t="shared" si="173"/>
        <v>7</v>
      </c>
      <c r="AA83" s="120">
        <f t="shared" si="173"/>
        <v>7</v>
      </c>
      <c r="AB83" s="120">
        <f t="shared" si="173"/>
        <v>7</v>
      </c>
      <c r="AC83" s="120">
        <f t="shared" si="173"/>
        <v>7</v>
      </c>
      <c r="AD83" s="120">
        <f t="shared" si="173"/>
        <v>7</v>
      </c>
      <c r="AE83" s="120">
        <f t="shared" si="173"/>
        <v>7</v>
      </c>
      <c r="AF83" s="120">
        <f t="shared" si="173"/>
        <v>8</v>
      </c>
      <c r="AG83" s="120">
        <f t="shared" si="173"/>
        <v>8</v>
      </c>
      <c r="AH83" s="120">
        <f t="shared" si="173"/>
        <v>9</v>
      </c>
      <c r="AI83" s="120">
        <f t="shared" si="173"/>
        <v>9</v>
      </c>
      <c r="AJ83" s="120">
        <f t="shared" si="173"/>
        <v>10</v>
      </c>
      <c r="AK83" s="120">
        <f t="shared" si="173"/>
        <v>10</v>
      </c>
      <c r="AL83" s="120">
        <f t="shared" si="173"/>
        <v>11</v>
      </c>
      <c r="AM83" s="120">
        <f t="shared" si="173"/>
        <v>11</v>
      </c>
      <c r="AN83" s="120">
        <f t="shared" si="173"/>
        <v>12</v>
      </c>
      <c r="AO83" s="120">
        <f t="shared" si="173"/>
        <v>12</v>
      </c>
      <c r="AP83" s="120">
        <f t="shared" si="173"/>
        <v>13</v>
      </c>
      <c r="AQ83" s="120">
        <f t="shared" si="173"/>
        <v>14</v>
      </c>
    </row>
    <row r="84" spans="1:43" s="46" customFormat="1" ht="15">
      <c r="C84" s="118" t="s">
        <v>418</v>
      </c>
      <c r="D84" s="118"/>
      <c r="E84" s="119">
        <v>2020</v>
      </c>
      <c r="F84" s="193">
        <v>2021</v>
      </c>
      <c r="G84" s="193">
        <v>2022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</row>
    <row r="85" spans="1:43" s="46" customFormat="1" ht="15">
      <c r="B85" s="49" t="s">
        <v>224</v>
      </c>
      <c r="C85" s="118" t="s">
        <v>417</v>
      </c>
      <c r="D85" s="118"/>
      <c r="E85" s="210">
        <v>100000</v>
      </c>
      <c r="F85" s="627">
        <f t="shared" ref="F85:G85" si="174">E85*(1+$E$14)</f>
        <v>105000</v>
      </c>
      <c r="G85" s="627">
        <f t="shared" si="174"/>
        <v>110250</v>
      </c>
      <c r="H85" s="483">
        <v>0</v>
      </c>
      <c r="I85" s="481">
        <v>0</v>
      </c>
      <c r="J85" s="481">
        <v>1</v>
      </c>
      <c r="K85" s="481">
        <f t="shared" ref="I85:S86" si="175">J85</f>
        <v>1</v>
      </c>
      <c r="L85" s="483">
        <v>1</v>
      </c>
      <c r="M85" s="481">
        <f t="shared" si="175"/>
        <v>1</v>
      </c>
      <c r="N85" s="481">
        <f t="shared" si="175"/>
        <v>1</v>
      </c>
      <c r="O85" s="481">
        <f t="shared" si="175"/>
        <v>1</v>
      </c>
      <c r="P85" s="481">
        <f t="shared" si="175"/>
        <v>1</v>
      </c>
      <c r="Q85" s="481">
        <f t="shared" si="175"/>
        <v>1</v>
      </c>
      <c r="R85" s="481">
        <f t="shared" si="175"/>
        <v>1</v>
      </c>
      <c r="S85" s="481">
        <f t="shared" si="175"/>
        <v>1</v>
      </c>
      <c r="T85" s="481">
        <f t="shared" ref="T85:T88" si="176">S85</f>
        <v>1</v>
      </c>
      <c r="U85" s="481">
        <f t="shared" ref="U85:U88" si="177">T85</f>
        <v>1</v>
      </c>
      <c r="V85" s="481">
        <f t="shared" ref="V85:V88" si="178">U85</f>
        <v>1</v>
      </c>
      <c r="W85" s="481">
        <f t="shared" ref="W85:W88" si="179">V85</f>
        <v>1</v>
      </c>
      <c r="X85" s="481">
        <f t="shared" ref="X85:X88" si="180">W85</f>
        <v>1</v>
      </c>
      <c r="Y85" s="481">
        <f t="shared" ref="Y85:Y88" si="181">X85</f>
        <v>1</v>
      </c>
      <c r="Z85" s="481">
        <f t="shared" ref="Z85:Z88" si="182">Y85</f>
        <v>1</v>
      </c>
      <c r="AA85" s="481">
        <f t="shared" ref="AA85:AA88" si="183">Z85</f>
        <v>1</v>
      </c>
      <c r="AB85" s="481">
        <f t="shared" ref="AB85:AB88" si="184">AA85</f>
        <v>1</v>
      </c>
      <c r="AC85" s="481">
        <f t="shared" ref="AC85:AC88" si="185">AB85</f>
        <v>1</v>
      </c>
      <c r="AD85" s="481">
        <f t="shared" ref="AD85:AD88" si="186">AC85</f>
        <v>1</v>
      </c>
      <c r="AE85" s="481">
        <f t="shared" ref="AE85:AE88" si="187">AD85</f>
        <v>1</v>
      </c>
      <c r="AF85" s="481">
        <f t="shared" ref="AF85:AF88" si="188">AE85</f>
        <v>1</v>
      </c>
      <c r="AG85" s="481">
        <f t="shared" ref="AG85:AG88" si="189">AF85</f>
        <v>1</v>
      </c>
      <c r="AH85" s="481">
        <f t="shared" ref="AH85:AH88" si="190">AG85</f>
        <v>1</v>
      </c>
      <c r="AI85" s="481">
        <f t="shared" ref="AI85:AI88" si="191">AH85</f>
        <v>1</v>
      </c>
      <c r="AJ85" s="481">
        <f t="shared" ref="AJ85:AJ88" si="192">AI85</f>
        <v>1</v>
      </c>
      <c r="AK85" s="481">
        <f t="shared" ref="AK85:AK88" si="193">AJ85</f>
        <v>1</v>
      </c>
      <c r="AL85" s="481">
        <f t="shared" ref="AL85:AL88" si="194">AK85</f>
        <v>1</v>
      </c>
      <c r="AM85" s="481">
        <f t="shared" ref="AM85:AM88" si="195">AL85</f>
        <v>1</v>
      </c>
      <c r="AN85" s="481">
        <f t="shared" ref="AN85:AN88" si="196">AM85</f>
        <v>1</v>
      </c>
      <c r="AO85" s="481">
        <f t="shared" ref="AO85:AO88" si="197">AN85</f>
        <v>1</v>
      </c>
      <c r="AP85" s="481">
        <f t="shared" ref="AP85:AP88" si="198">AO85</f>
        <v>1</v>
      </c>
      <c r="AQ85" s="481">
        <f t="shared" ref="AQ85:AQ88" si="199">AP85</f>
        <v>1</v>
      </c>
    </row>
    <row r="86" spans="1:43" s="46" customFormat="1" ht="15">
      <c r="B86" s="49" t="s">
        <v>361</v>
      </c>
      <c r="C86" s="680">
        <v>20000000</v>
      </c>
      <c r="D86" s="118"/>
      <c r="E86" s="210">
        <v>50000</v>
      </c>
      <c r="F86" s="627">
        <f t="shared" ref="F86:G86" si="200">E86*(1+$E$14)</f>
        <v>52500</v>
      </c>
      <c r="G86" s="627">
        <f t="shared" si="200"/>
        <v>55125</v>
      </c>
      <c r="H86" s="483">
        <v>0</v>
      </c>
      <c r="I86" s="481">
        <f t="shared" si="175"/>
        <v>0</v>
      </c>
      <c r="J86" s="481">
        <f t="shared" si="175"/>
        <v>0</v>
      </c>
      <c r="K86" s="481">
        <f t="shared" si="175"/>
        <v>0</v>
      </c>
      <c r="L86" s="483">
        <v>0</v>
      </c>
      <c r="M86" s="481">
        <v>0</v>
      </c>
      <c r="N86" s="481">
        <v>0</v>
      </c>
      <c r="O86" s="481">
        <v>0</v>
      </c>
      <c r="P86" s="481">
        <v>0</v>
      </c>
      <c r="Q86" s="481">
        <v>0</v>
      </c>
      <c r="R86" s="481">
        <v>0</v>
      </c>
      <c r="S86" s="481">
        <f t="shared" si="175"/>
        <v>0</v>
      </c>
      <c r="T86" s="481">
        <f>MAX(0,ROUND(T$12/$C86,))</f>
        <v>1</v>
      </c>
      <c r="U86" s="481">
        <f t="shared" ref="U86:AQ86" si="201">MAX(0,ROUND(U$12/$C86,))</f>
        <v>1</v>
      </c>
      <c r="V86" s="481">
        <f t="shared" si="201"/>
        <v>1</v>
      </c>
      <c r="W86" s="481">
        <f t="shared" si="201"/>
        <v>1</v>
      </c>
      <c r="X86" s="481">
        <f t="shared" si="201"/>
        <v>1</v>
      </c>
      <c r="Y86" s="481">
        <f t="shared" si="201"/>
        <v>1</v>
      </c>
      <c r="Z86" s="481">
        <f t="shared" si="201"/>
        <v>2</v>
      </c>
      <c r="AA86" s="481">
        <f t="shared" si="201"/>
        <v>2</v>
      </c>
      <c r="AB86" s="481">
        <f t="shared" si="201"/>
        <v>2</v>
      </c>
      <c r="AC86" s="481">
        <f t="shared" si="201"/>
        <v>2</v>
      </c>
      <c r="AD86" s="481">
        <f t="shared" si="201"/>
        <v>2</v>
      </c>
      <c r="AE86" s="481">
        <f t="shared" si="201"/>
        <v>2</v>
      </c>
      <c r="AF86" s="481">
        <f t="shared" si="201"/>
        <v>3</v>
      </c>
      <c r="AG86" s="481">
        <f t="shared" si="201"/>
        <v>3</v>
      </c>
      <c r="AH86" s="481">
        <f t="shared" si="201"/>
        <v>4</v>
      </c>
      <c r="AI86" s="481">
        <f t="shared" si="201"/>
        <v>4</v>
      </c>
      <c r="AJ86" s="481">
        <f t="shared" si="201"/>
        <v>5</v>
      </c>
      <c r="AK86" s="481">
        <f t="shared" si="201"/>
        <v>5</v>
      </c>
      <c r="AL86" s="481">
        <f t="shared" si="201"/>
        <v>6</v>
      </c>
      <c r="AM86" s="481">
        <f t="shared" si="201"/>
        <v>6</v>
      </c>
      <c r="AN86" s="481">
        <f t="shared" si="201"/>
        <v>7</v>
      </c>
      <c r="AO86" s="481">
        <f t="shared" si="201"/>
        <v>7</v>
      </c>
      <c r="AP86" s="481">
        <f t="shared" si="201"/>
        <v>8</v>
      </c>
      <c r="AQ86" s="481">
        <f t="shared" si="201"/>
        <v>9</v>
      </c>
    </row>
    <row r="87" spans="1:43" s="46" customFormat="1" ht="15">
      <c r="B87" s="49" t="s">
        <v>362</v>
      </c>
      <c r="E87" s="210">
        <v>52000</v>
      </c>
      <c r="F87" s="627">
        <f t="shared" ref="F87:G87" si="202">E87*(1+$E$14)</f>
        <v>54600</v>
      </c>
      <c r="G87" s="627">
        <f t="shared" si="202"/>
        <v>57330</v>
      </c>
      <c r="H87" s="511">
        <v>0</v>
      </c>
      <c r="I87" s="511">
        <f>H87</f>
        <v>0</v>
      </c>
      <c r="J87" s="511">
        <v>0</v>
      </c>
      <c r="K87" s="511">
        <f>J87</f>
        <v>0</v>
      </c>
      <c r="L87" s="511">
        <v>1</v>
      </c>
      <c r="M87" s="511">
        <f>L87</f>
        <v>1</v>
      </c>
      <c r="N87" s="511">
        <v>3</v>
      </c>
      <c r="O87" s="511">
        <f>N87</f>
        <v>3</v>
      </c>
      <c r="P87" s="511">
        <v>4</v>
      </c>
      <c r="Q87" s="511">
        <f>P87</f>
        <v>4</v>
      </c>
      <c r="R87" s="511">
        <f>Q87</f>
        <v>4</v>
      </c>
      <c r="S87" s="511">
        <f>R87</f>
        <v>4</v>
      </c>
      <c r="T87" s="479">
        <f t="shared" si="176"/>
        <v>4</v>
      </c>
      <c r="U87" s="479">
        <f t="shared" si="177"/>
        <v>4</v>
      </c>
      <c r="V87" s="479">
        <f t="shared" si="178"/>
        <v>4</v>
      </c>
      <c r="W87" s="479">
        <f t="shared" si="179"/>
        <v>4</v>
      </c>
      <c r="X87" s="479">
        <f t="shared" si="180"/>
        <v>4</v>
      </c>
      <c r="Y87" s="479">
        <f t="shared" si="181"/>
        <v>4</v>
      </c>
      <c r="Z87" s="479">
        <f t="shared" si="182"/>
        <v>4</v>
      </c>
      <c r="AA87" s="479">
        <f t="shared" si="183"/>
        <v>4</v>
      </c>
      <c r="AB87" s="479">
        <f t="shared" si="184"/>
        <v>4</v>
      </c>
      <c r="AC87" s="479">
        <f t="shared" si="185"/>
        <v>4</v>
      </c>
      <c r="AD87" s="479">
        <f t="shared" si="186"/>
        <v>4</v>
      </c>
      <c r="AE87" s="479">
        <f t="shared" si="187"/>
        <v>4</v>
      </c>
      <c r="AF87" s="479">
        <f t="shared" si="188"/>
        <v>4</v>
      </c>
      <c r="AG87" s="479">
        <f t="shared" si="189"/>
        <v>4</v>
      </c>
      <c r="AH87" s="479">
        <f t="shared" si="190"/>
        <v>4</v>
      </c>
      <c r="AI87" s="479">
        <f t="shared" si="191"/>
        <v>4</v>
      </c>
      <c r="AJ87" s="479">
        <f t="shared" si="192"/>
        <v>4</v>
      </c>
      <c r="AK87" s="479">
        <f t="shared" si="193"/>
        <v>4</v>
      </c>
      <c r="AL87" s="479">
        <f t="shared" si="194"/>
        <v>4</v>
      </c>
      <c r="AM87" s="479">
        <f t="shared" si="195"/>
        <v>4</v>
      </c>
      <c r="AN87" s="479">
        <f t="shared" si="196"/>
        <v>4</v>
      </c>
      <c r="AO87" s="479">
        <f t="shared" si="197"/>
        <v>4</v>
      </c>
      <c r="AP87" s="479">
        <f t="shared" si="198"/>
        <v>4</v>
      </c>
      <c r="AQ87" s="479">
        <f t="shared" si="199"/>
        <v>4</v>
      </c>
    </row>
    <row r="88" spans="1:43" s="46" customFormat="1" ht="15">
      <c r="B88" s="49" t="s">
        <v>231</v>
      </c>
      <c r="E88" s="210">
        <v>25000</v>
      </c>
      <c r="F88" s="627">
        <f t="shared" ref="F88:G88" si="203">E88*(1+$E$14)</f>
        <v>26250</v>
      </c>
      <c r="G88" s="627">
        <f t="shared" si="203"/>
        <v>27562.5</v>
      </c>
      <c r="H88" s="483">
        <v>0</v>
      </c>
      <c r="I88" s="635">
        <f t="shared" ref="I88:S88" si="204">H88</f>
        <v>0</v>
      </c>
      <c r="J88" s="635">
        <v>2</v>
      </c>
      <c r="K88" s="635">
        <f t="shared" si="204"/>
        <v>2</v>
      </c>
      <c r="L88" s="483">
        <v>4</v>
      </c>
      <c r="M88" s="635">
        <f t="shared" si="204"/>
        <v>4</v>
      </c>
      <c r="N88" s="635">
        <f t="shared" si="204"/>
        <v>4</v>
      </c>
      <c r="O88" s="635">
        <f t="shared" si="204"/>
        <v>4</v>
      </c>
      <c r="P88" s="483">
        <v>10</v>
      </c>
      <c r="Q88" s="635">
        <f t="shared" si="204"/>
        <v>10</v>
      </c>
      <c r="R88" s="635">
        <f t="shared" si="204"/>
        <v>10</v>
      </c>
      <c r="S88" s="485">
        <f t="shared" si="204"/>
        <v>10</v>
      </c>
      <c r="T88" s="485">
        <f t="shared" si="176"/>
        <v>10</v>
      </c>
      <c r="U88" s="485">
        <f t="shared" si="177"/>
        <v>10</v>
      </c>
      <c r="V88" s="485">
        <f t="shared" si="178"/>
        <v>10</v>
      </c>
      <c r="W88" s="485">
        <f t="shared" si="179"/>
        <v>10</v>
      </c>
      <c r="X88" s="485">
        <f t="shared" si="180"/>
        <v>10</v>
      </c>
      <c r="Y88" s="485">
        <f t="shared" si="181"/>
        <v>10</v>
      </c>
      <c r="Z88" s="485">
        <f t="shared" si="182"/>
        <v>10</v>
      </c>
      <c r="AA88" s="485">
        <f t="shared" si="183"/>
        <v>10</v>
      </c>
      <c r="AB88" s="485">
        <f t="shared" si="184"/>
        <v>10</v>
      </c>
      <c r="AC88" s="485">
        <f t="shared" si="185"/>
        <v>10</v>
      </c>
      <c r="AD88" s="485">
        <f t="shared" si="186"/>
        <v>10</v>
      </c>
      <c r="AE88" s="485">
        <f t="shared" si="187"/>
        <v>10</v>
      </c>
      <c r="AF88" s="485">
        <f t="shared" si="188"/>
        <v>10</v>
      </c>
      <c r="AG88" s="485">
        <f t="shared" si="189"/>
        <v>10</v>
      </c>
      <c r="AH88" s="485">
        <f t="shared" si="190"/>
        <v>10</v>
      </c>
      <c r="AI88" s="485">
        <f t="shared" si="191"/>
        <v>10</v>
      </c>
      <c r="AJ88" s="485">
        <f t="shared" si="192"/>
        <v>10</v>
      </c>
      <c r="AK88" s="485">
        <f t="shared" si="193"/>
        <v>10</v>
      </c>
      <c r="AL88" s="485">
        <f t="shared" si="194"/>
        <v>10</v>
      </c>
      <c r="AM88" s="485">
        <f t="shared" si="195"/>
        <v>10</v>
      </c>
      <c r="AN88" s="485">
        <f t="shared" si="196"/>
        <v>10</v>
      </c>
      <c r="AO88" s="485">
        <f t="shared" si="197"/>
        <v>10</v>
      </c>
      <c r="AP88" s="485">
        <f t="shared" si="198"/>
        <v>10</v>
      </c>
      <c r="AQ88" s="485">
        <f t="shared" si="199"/>
        <v>10</v>
      </c>
    </row>
    <row r="89" spans="1:43" s="46" customFormat="1" ht="15">
      <c r="B89" s="116" t="s">
        <v>229</v>
      </c>
      <c r="C89" s="116"/>
      <c r="D89" s="116"/>
      <c r="E89" s="117"/>
      <c r="F89" s="117"/>
      <c r="G89" s="442"/>
      <c r="H89" s="197">
        <f>IF(H$4=2020,SUMPRODUCT($E85:$E88,H85:H88)/12,IF(H$4=2021,SUMPRODUCT($F85:$F88,H85:H88)/12,IF(H$4=2022,SUMPRODUCT($G85:$G88,H85:H88)/12)))</f>
        <v>0</v>
      </c>
      <c r="I89" s="197">
        <f t="shared" ref="I89:AQ89" si="205">IF(I$4=2020,SUMPRODUCT($E85:$E88,I85:I88)/12,IF(I$4=2021,SUMPRODUCT($F85:$F88,I85:I88)/12,IF(I$4=2022,SUMPRODUCT($G85:$G88,I85:I88)/12)))</f>
        <v>0</v>
      </c>
      <c r="J89" s="197">
        <f t="shared" si="205"/>
        <v>12500</v>
      </c>
      <c r="K89" s="197">
        <f t="shared" si="205"/>
        <v>12500</v>
      </c>
      <c r="L89" s="197">
        <f t="shared" si="205"/>
        <v>21000</v>
      </c>
      <c r="M89" s="197">
        <f t="shared" si="205"/>
        <v>21000</v>
      </c>
      <c r="N89" s="197">
        <f t="shared" si="205"/>
        <v>29666.666666666668</v>
      </c>
      <c r="O89" s="197">
        <f t="shared" si="205"/>
        <v>29666.666666666668</v>
      </c>
      <c r="P89" s="197">
        <f t="shared" si="205"/>
        <v>46500</v>
      </c>
      <c r="Q89" s="197">
        <f t="shared" si="205"/>
        <v>46500</v>
      </c>
      <c r="R89" s="197">
        <f t="shared" si="205"/>
        <v>46500</v>
      </c>
      <c r="S89" s="197">
        <f t="shared" si="205"/>
        <v>46500</v>
      </c>
      <c r="T89" s="197">
        <f t="shared" si="205"/>
        <v>53200</v>
      </c>
      <c r="U89" s="197">
        <f t="shared" si="205"/>
        <v>53200</v>
      </c>
      <c r="V89" s="197">
        <f t="shared" si="205"/>
        <v>53200</v>
      </c>
      <c r="W89" s="197">
        <f t="shared" si="205"/>
        <v>53200</v>
      </c>
      <c r="X89" s="197">
        <f t="shared" si="205"/>
        <v>53200</v>
      </c>
      <c r="Y89" s="197">
        <f t="shared" si="205"/>
        <v>53200</v>
      </c>
      <c r="Z89" s="197">
        <f t="shared" si="205"/>
        <v>57575</v>
      </c>
      <c r="AA89" s="197">
        <f t="shared" si="205"/>
        <v>57575</v>
      </c>
      <c r="AB89" s="197">
        <f t="shared" si="205"/>
        <v>57575</v>
      </c>
      <c r="AC89" s="197">
        <f t="shared" si="205"/>
        <v>57575</v>
      </c>
      <c r="AD89" s="197">
        <f t="shared" si="205"/>
        <v>57575</v>
      </c>
      <c r="AE89" s="197">
        <f t="shared" si="205"/>
        <v>57575</v>
      </c>
      <c r="AF89" s="197">
        <f t="shared" si="205"/>
        <v>65047.5</v>
      </c>
      <c r="AG89" s="197">
        <f t="shared" si="205"/>
        <v>65047.5</v>
      </c>
      <c r="AH89" s="197">
        <f t="shared" si="205"/>
        <v>69641.25</v>
      </c>
      <c r="AI89" s="197">
        <f t="shared" si="205"/>
        <v>69641.25</v>
      </c>
      <c r="AJ89" s="197">
        <f t="shared" si="205"/>
        <v>74235</v>
      </c>
      <c r="AK89" s="197">
        <f t="shared" si="205"/>
        <v>74235</v>
      </c>
      <c r="AL89" s="197">
        <f t="shared" si="205"/>
        <v>78828.75</v>
      </c>
      <c r="AM89" s="197">
        <f t="shared" si="205"/>
        <v>78828.75</v>
      </c>
      <c r="AN89" s="197">
        <f t="shared" si="205"/>
        <v>83422.5</v>
      </c>
      <c r="AO89" s="197">
        <f t="shared" si="205"/>
        <v>83422.5</v>
      </c>
      <c r="AP89" s="197">
        <f t="shared" si="205"/>
        <v>88016.25</v>
      </c>
      <c r="AQ89" s="197">
        <f t="shared" si="205"/>
        <v>92610</v>
      </c>
    </row>
    <row r="90" spans="1:43" s="46" customFormat="1" ht="15">
      <c r="K90" s="115"/>
      <c r="O90" s="115"/>
    </row>
    <row r="91" spans="1:43" customFormat="1" ht="15">
      <c r="B91" s="613" t="s">
        <v>218</v>
      </c>
    </row>
    <row r="92" spans="1:43" customFormat="1" ht="15">
      <c r="B92" s="5"/>
      <c r="C92" s="5"/>
      <c r="D92" s="5"/>
      <c r="E92" s="5"/>
      <c r="F92" s="14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43" customFormat="1" ht="15">
      <c r="B93" s="5"/>
      <c r="C93" s="5"/>
      <c r="D93" s="5"/>
      <c r="E93" s="5"/>
      <c r="F93" s="14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43" customFormat="1" ht="15">
      <c r="B94" s="5"/>
      <c r="C94" s="5"/>
      <c r="D94" s="5"/>
      <c r="E94" s="5"/>
      <c r="F94" s="14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43" customFormat="1" ht="15">
      <c r="B95" s="5"/>
      <c r="C95" s="5"/>
      <c r="D95" s="5"/>
      <c r="E95" s="5"/>
      <c r="F95" s="14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43" customFormat="1" ht="15">
      <c r="B96" s="5"/>
      <c r="C96" s="5"/>
      <c r="D96" s="5"/>
      <c r="E96" s="5"/>
      <c r="F96" s="14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customFormat="1" ht="15">
      <c r="B97" s="5"/>
      <c r="C97" s="5"/>
      <c r="D97" s="5"/>
      <c r="E97" s="5"/>
      <c r="F97" s="14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21" customFormat="1" ht="15">
      <c r="B98" s="5"/>
      <c r="C98" s="5"/>
      <c r="D98" s="5"/>
      <c r="E98" s="5"/>
      <c r="F98" s="14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21" customFormat="1" ht="15">
      <c r="B99" s="5"/>
      <c r="C99" s="5"/>
      <c r="D99" s="5"/>
      <c r="E99" s="5"/>
      <c r="F99" s="14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21" customFormat="1" ht="15">
      <c r="B100" s="5"/>
      <c r="C100" s="5"/>
      <c r="D100" s="5"/>
      <c r="E100" s="5"/>
      <c r="F100" s="14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21" customFormat="1" ht="15">
      <c r="B101" s="5"/>
      <c r="C101" s="5"/>
      <c r="D101" s="5"/>
      <c r="E101" s="5"/>
      <c r="F101" s="14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21" customFormat="1" ht="15">
      <c r="B102" s="5"/>
      <c r="C102" s="5"/>
      <c r="D102" s="5"/>
      <c r="E102" s="5"/>
      <c r="F102" s="14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21" s="46" customFormat="1" ht="15">
      <c r="S103"/>
      <c r="T103"/>
      <c r="U103"/>
    </row>
    <row r="104" spans="2:21" s="46" customFormat="1" ht="15">
      <c r="S104"/>
      <c r="T104"/>
      <c r="U104"/>
    </row>
    <row r="105" spans="2:21" s="46" customFormat="1" ht="15"/>
    <row r="106" spans="2:21" s="46" customFormat="1" ht="15"/>
    <row r="107" spans="2:21" s="46" customFormat="1" ht="15"/>
    <row r="108" spans="2:21" s="46" customFormat="1" ht="15"/>
    <row r="109" spans="2:21" s="46" customFormat="1" ht="15"/>
    <row r="110" spans="2:21" s="46" customFormat="1" ht="15"/>
    <row r="111" spans="2:21" s="46" customFormat="1" ht="15"/>
    <row r="112" spans="2:21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</sheetData>
  <pageMargins left="0.7" right="0.7" top="0.75" bottom="0.75" header="0.3" footer="0.3"/>
  <pageSetup scale="50" orientation="landscape" r:id="rId1"/>
  <colBreaks count="1" manualBreakCount="1">
    <brk id="1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F909-3C82-40BB-AF6A-206429011BF7}">
  <sheetPr>
    <tabColor rgb="FF00B0F0"/>
  </sheetPr>
  <dimension ref="A1:AR310"/>
  <sheetViews>
    <sheetView showGridLines="0" view="pageBreakPreview" zoomScaleNormal="100" zoomScaleSheetLayoutView="10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B12" sqref="B12"/>
    </sheetView>
  </sheetViews>
  <sheetFormatPr defaultColWidth="8.7109375" defaultRowHeight="13.35" customHeight="1" outlineLevelRow="1"/>
  <cols>
    <col min="1" max="1" width="1.7109375" style="124" customWidth="1"/>
    <col min="2" max="2" width="47.42578125" style="5" bestFit="1" customWidth="1"/>
    <col min="3" max="3" width="16.85546875" style="125" bestFit="1" customWidth="1"/>
    <col min="4" max="5" width="16.85546875" style="125" customWidth="1"/>
    <col min="6" max="43" width="15.7109375" style="5" customWidth="1"/>
    <col min="44" max="16384" width="8.7109375" style="5"/>
  </cols>
  <sheetData>
    <row r="1" spans="1:43" ht="20.100000000000001" customHeight="1">
      <c r="B1" s="41" t="str">
        <f>'Monthly P&amp;L'!B1</f>
        <v>Steward Holdings (US) Inc., A Public Benefit Corporation</v>
      </c>
      <c r="F1" s="126"/>
      <c r="G1" s="126"/>
      <c r="H1" s="127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</row>
    <row r="2" spans="1:43" ht="13.35" customHeight="1">
      <c r="B2" s="4" t="s">
        <v>6</v>
      </c>
      <c r="C2" s="303"/>
      <c r="D2" s="303"/>
      <c r="E2" s="30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</row>
    <row r="3" spans="1:43" ht="13.35" customHeight="1">
      <c r="B3" s="107"/>
      <c r="F3" s="127"/>
      <c r="G3" s="126"/>
      <c r="H3" s="126" t="e">
        <f>#REF!</f>
        <v>#REF!</v>
      </c>
      <c r="I3" s="126" t="e">
        <f>#REF!</f>
        <v>#REF!</v>
      </c>
      <c r="J3" s="126" t="e">
        <f>#REF!</f>
        <v>#REF!</v>
      </c>
      <c r="K3" s="126" t="e">
        <f>#REF!</f>
        <v>#REF!</v>
      </c>
      <c r="L3" s="126" t="e">
        <f>#REF!</f>
        <v>#REF!</v>
      </c>
      <c r="M3" s="126" t="e">
        <f>#REF!</f>
        <v>#REF!</v>
      </c>
      <c r="N3" s="126" t="e">
        <f>#REF!</f>
        <v>#REF!</v>
      </c>
      <c r="O3" s="126" t="e">
        <f>#REF!</f>
        <v>#REF!</v>
      </c>
      <c r="P3" s="126" t="e">
        <f>#REF!</f>
        <v>#REF!</v>
      </c>
      <c r="Q3" s="126" t="e">
        <f>#REF!</f>
        <v>#REF!</v>
      </c>
      <c r="R3" s="126" t="e">
        <f>#REF!</f>
        <v>#REF!</v>
      </c>
      <c r="S3" s="126" t="e">
        <f>#REF!</f>
        <v>#REF!</v>
      </c>
      <c r="T3" s="126" t="e">
        <f>#REF!</f>
        <v>#REF!</v>
      </c>
      <c r="U3" s="126" t="e">
        <f>#REF!</f>
        <v>#REF!</v>
      </c>
      <c r="V3" s="126" t="e">
        <f>#REF!</f>
        <v>#REF!</v>
      </c>
      <c r="W3" s="126" t="e">
        <f>#REF!</f>
        <v>#REF!</v>
      </c>
      <c r="X3" s="126" t="e">
        <f>#REF!</f>
        <v>#REF!</v>
      </c>
      <c r="Y3" s="126" t="e">
        <f>#REF!</f>
        <v>#REF!</v>
      </c>
      <c r="Z3" s="126" t="e">
        <f>#REF!</f>
        <v>#REF!</v>
      </c>
      <c r="AA3" s="126" t="e">
        <f>#REF!</f>
        <v>#REF!</v>
      </c>
      <c r="AB3" s="126" t="e">
        <f>#REF!</f>
        <v>#REF!</v>
      </c>
      <c r="AC3" s="126" t="e">
        <f>#REF!</f>
        <v>#REF!</v>
      </c>
      <c r="AD3" s="126" t="e">
        <f>#REF!</f>
        <v>#REF!</v>
      </c>
      <c r="AE3" s="126" t="e">
        <f>#REF!</f>
        <v>#REF!</v>
      </c>
      <c r="AF3" s="126" t="e">
        <f>#REF!</f>
        <v>#REF!</v>
      </c>
      <c r="AG3" s="126" t="e">
        <f>#REF!</f>
        <v>#REF!</v>
      </c>
      <c r="AH3" s="126" t="e">
        <f>#REF!</f>
        <v>#REF!</v>
      </c>
      <c r="AI3" s="126" t="e">
        <f>#REF!</f>
        <v>#REF!</v>
      </c>
      <c r="AJ3" s="126" t="e">
        <f>#REF!</f>
        <v>#REF!</v>
      </c>
      <c r="AK3" s="126" t="e">
        <f>#REF!</f>
        <v>#REF!</v>
      </c>
      <c r="AL3" s="126" t="e">
        <f>#REF!</f>
        <v>#REF!</v>
      </c>
      <c r="AM3" s="126" t="e">
        <f>#REF!</f>
        <v>#REF!</v>
      </c>
      <c r="AN3" s="126" t="e">
        <f>#REF!</f>
        <v>#REF!</v>
      </c>
      <c r="AO3" s="126" t="e">
        <f>#REF!</f>
        <v>#REF!</v>
      </c>
      <c r="AP3" s="126" t="e">
        <f>#REF!</f>
        <v>#REF!</v>
      </c>
      <c r="AQ3" s="126" t="e">
        <f>#REF!</f>
        <v>#REF!</v>
      </c>
    </row>
    <row r="4" spans="1:43" ht="13.35" customHeight="1">
      <c r="B4" s="128"/>
      <c r="C4" s="129"/>
      <c r="D4" s="129"/>
      <c r="E4" s="129"/>
      <c r="F4" s="336"/>
      <c r="G4" s="335"/>
      <c r="H4" s="128" t="s">
        <v>4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30" t="s">
        <v>28</v>
      </c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 t="s">
        <v>28</v>
      </c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 t="s">
        <v>47</v>
      </c>
    </row>
    <row r="5" spans="1:43" ht="13.35" customHeight="1">
      <c r="B5" s="109"/>
      <c r="C5" s="109" t="s">
        <v>5</v>
      </c>
      <c r="D5" s="109"/>
      <c r="E5" s="109"/>
      <c r="F5" s="131">
        <v>43860</v>
      </c>
      <c r="G5" s="132">
        <f>EOMONTH(F5,1)</f>
        <v>43890</v>
      </c>
      <c r="H5" s="132">
        <f t="shared" ref="H5:AQ5" si="0">EOMONTH(G5,1)</f>
        <v>43921</v>
      </c>
      <c r="I5" s="132">
        <f t="shared" si="0"/>
        <v>43951</v>
      </c>
      <c r="J5" s="132">
        <f t="shared" si="0"/>
        <v>43982</v>
      </c>
      <c r="K5" s="132">
        <f t="shared" si="0"/>
        <v>44012</v>
      </c>
      <c r="L5" s="132">
        <f t="shared" si="0"/>
        <v>44043</v>
      </c>
      <c r="M5" s="132">
        <f t="shared" si="0"/>
        <v>44074</v>
      </c>
      <c r="N5" s="132">
        <f t="shared" si="0"/>
        <v>44104</v>
      </c>
      <c r="O5" s="132">
        <f t="shared" si="0"/>
        <v>44135</v>
      </c>
      <c r="P5" s="132">
        <f t="shared" si="0"/>
        <v>44165</v>
      </c>
      <c r="Q5" s="132">
        <f t="shared" si="0"/>
        <v>44196</v>
      </c>
      <c r="R5" s="132">
        <f t="shared" si="0"/>
        <v>44227</v>
      </c>
      <c r="S5" s="132">
        <f t="shared" si="0"/>
        <v>44255</v>
      </c>
      <c r="T5" s="132">
        <f t="shared" si="0"/>
        <v>44286</v>
      </c>
      <c r="U5" s="132">
        <f t="shared" si="0"/>
        <v>44316</v>
      </c>
      <c r="V5" s="132">
        <f t="shared" si="0"/>
        <v>44347</v>
      </c>
      <c r="W5" s="132">
        <f t="shared" si="0"/>
        <v>44377</v>
      </c>
      <c r="X5" s="132">
        <f t="shared" si="0"/>
        <v>44408</v>
      </c>
      <c r="Y5" s="132">
        <f t="shared" si="0"/>
        <v>44439</v>
      </c>
      <c r="Z5" s="132">
        <f t="shared" si="0"/>
        <v>44469</v>
      </c>
      <c r="AA5" s="132">
        <f t="shared" si="0"/>
        <v>44500</v>
      </c>
      <c r="AB5" s="132">
        <f t="shared" si="0"/>
        <v>44530</v>
      </c>
      <c r="AC5" s="132">
        <f t="shared" si="0"/>
        <v>44561</v>
      </c>
      <c r="AD5" s="132">
        <f t="shared" si="0"/>
        <v>44592</v>
      </c>
      <c r="AE5" s="132">
        <f t="shared" si="0"/>
        <v>44620</v>
      </c>
      <c r="AF5" s="132">
        <f t="shared" si="0"/>
        <v>44651</v>
      </c>
      <c r="AG5" s="132">
        <f t="shared" si="0"/>
        <v>44681</v>
      </c>
      <c r="AH5" s="132">
        <f t="shared" si="0"/>
        <v>44712</v>
      </c>
      <c r="AI5" s="132">
        <f t="shared" si="0"/>
        <v>44742</v>
      </c>
      <c r="AJ5" s="132">
        <f t="shared" si="0"/>
        <v>44773</v>
      </c>
      <c r="AK5" s="132">
        <f t="shared" si="0"/>
        <v>44804</v>
      </c>
      <c r="AL5" s="132">
        <f t="shared" si="0"/>
        <v>44834</v>
      </c>
      <c r="AM5" s="132">
        <f t="shared" si="0"/>
        <v>44865</v>
      </c>
      <c r="AN5" s="132">
        <f t="shared" si="0"/>
        <v>44895</v>
      </c>
      <c r="AO5" s="132">
        <f t="shared" si="0"/>
        <v>44926</v>
      </c>
      <c r="AP5" s="132">
        <f t="shared" si="0"/>
        <v>44957</v>
      </c>
      <c r="AQ5" s="132">
        <f t="shared" si="0"/>
        <v>44985</v>
      </c>
    </row>
    <row r="6" spans="1:43" s="46" customFormat="1" ht="13.35" customHeight="1"/>
    <row r="7" spans="1:43" s="46" customFormat="1" ht="13.35" customHeight="1">
      <c r="B7" s="216" t="s">
        <v>157</v>
      </c>
      <c r="C7" s="645">
        <f>'Existing Loans + Loan Pipeline'!C28</f>
        <v>44012</v>
      </c>
      <c r="D7"/>
      <c r="E7"/>
    </row>
    <row r="8" spans="1:43" s="46" customFormat="1" ht="13.35" customHeight="1">
      <c r="B8" s="217" t="s">
        <v>159</v>
      </c>
      <c r="C8" s="646">
        <f>'Model Drivers'!$C$20</f>
        <v>5</v>
      </c>
      <c r="D8"/>
      <c r="E8"/>
    </row>
    <row r="9" spans="1:43" s="46" customFormat="1" ht="13.35" customHeight="1"/>
    <row r="10" spans="1:43" s="144" customFormat="1" ht="13.35" customHeight="1">
      <c r="A10" s="124" t="s">
        <v>47</v>
      </c>
      <c r="B10" s="133" t="s">
        <v>332</v>
      </c>
      <c r="C10" s="134"/>
      <c r="D10" s="134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7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7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s="46" customFormat="1" ht="13.35" customHeight="1">
      <c r="C11" s="650">
        <f>'Model Drivers'!C11</f>
        <v>43831</v>
      </c>
      <c r="D11" s="650">
        <f>'Model Drivers'!D11</f>
        <v>44197</v>
      </c>
      <c r="E11" s="650">
        <f>'Model Drivers'!E11</f>
        <v>44562</v>
      </c>
      <c r="H11" s="51"/>
    </row>
    <row r="12" spans="1:43" s="46" customFormat="1" ht="13.35" customHeight="1">
      <c r="B12" s="338" t="s">
        <v>334</v>
      </c>
      <c r="C12" s="643">
        <f>'Model Drivers'!C13</f>
        <v>1200</v>
      </c>
      <c r="D12" s="643">
        <f>'Model Drivers'!D13</f>
        <v>3000</v>
      </c>
      <c r="E12" s="643">
        <f>'Model Drivers'!E13</f>
        <v>6000</v>
      </c>
      <c r="F12" s="598"/>
      <c r="G12" s="598"/>
      <c r="H12" s="200">
        <f>IF(H$5&lt;=$D11,ROUND($C12/12,0),IF(H$5&lt;=$E11,ROUND($D12/12,0),ROUND($E12/12,0)))</f>
        <v>100</v>
      </c>
      <c r="I12" s="200">
        <f t="shared" ref="I12:AQ12" si="1">IF(I$5&lt;=$D11,ROUND($C12/12,0),IF(I$5&lt;=$E11,ROUND($D12/12,0),ROUND($E12/12,0)))</f>
        <v>100</v>
      </c>
      <c r="J12" s="200">
        <f t="shared" si="1"/>
        <v>100</v>
      </c>
      <c r="K12" s="200">
        <f t="shared" si="1"/>
        <v>100</v>
      </c>
      <c r="L12" s="200">
        <f t="shared" si="1"/>
        <v>100</v>
      </c>
      <c r="M12" s="200">
        <f t="shared" si="1"/>
        <v>100</v>
      </c>
      <c r="N12" s="200">
        <f t="shared" si="1"/>
        <v>100</v>
      </c>
      <c r="O12" s="200">
        <f t="shared" si="1"/>
        <v>100</v>
      </c>
      <c r="P12" s="200">
        <f t="shared" si="1"/>
        <v>100</v>
      </c>
      <c r="Q12" s="200">
        <f t="shared" si="1"/>
        <v>100</v>
      </c>
      <c r="R12" s="200">
        <f>IF(R$5&lt;=$D$11,ROUND($C12/12,0),IF(R$5&lt;=$E$11,ROUND($D12/12,0),ROUND($E12/12,0)))</f>
        <v>250</v>
      </c>
      <c r="S12" s="200">
        <f t="shared" si="1"/>
        <v>250</v>
      </c>
      <c r="T12" s="200">
        <f t="shared" si="1"/>
        <v>250</v>
      </c>
      <c r="U12" s="200">
        <f t="shared" si="1"/>
        <v>250</v>
      </c>
      <c r="V12" s="200">
        <f t="shared" si="1"/>
        <v>250</v>
      </c>
      <c r="W12" s="200">
        <f t="shared" si="1"/>
        <v>250</v>
      </c>
      <c r="X12" s="200">
        <f t="shared" si="1"/>
        <v>250</v>
      </c>
      <c r="Y12" s="200">
        <f t="shared" si="1"/>
        <v>250</v>
      </c>
      <c r="Z12" s="200">
        <f t="shared" si="1"/>
        <v>250</v>
      </c>
      <c r="AA12" s="200">
        <f t="shared" si="1"/>
        <v>250</v>
      </c>
      <c r="AB12" s="200">
        <f t="shared" si="1"/>
        <v>250</v>
      </c>
      <c r="AC12" s="200">
        <f t="shared" si="1"/>
        <v>250</v>
      </c>
      <c r="AD12" s="200">
        <f t="shared" si="1"/>
        <v>500</v>
      </c>
      <c r="AE12" s="200">
        <f t="shared" si="1"/>
        <v>500</v>
      </c>
      <c r="AF12" s="200">
        <f t="shared" si="1"/>
        <v>500</v>
      </c>
      <c r="AG12" s="200">
        <f t="shared" si="1"/>
        <v>500</v>
      </c>
      <c r="AH12" s="200">
        <f t="shared" si="1"/>
        <v>500</v>
      </c>
      <c r="AI12" s="200">
        <f t="shared" si="1"/>
        <v>500</v>
      </c>
      <c r="AJ12" s="200">
        <f t="shared" si="1"/>
        <v>500</v>
      </c>
      <c r="AK12" s="200">
        <f t="shared" si="1"/>
        <v>500</v>
      </c>
      <c r="AL12" s="200">
        <f t="shared" si="1"/>
        <v>500</v>
      </c>
      <c r="AM12" s="200">
        <f t="shared" si="1"/>
        <v>500</v>
      </c>
      <c r="AN12" s="200">
        <f t="shared" si="1"/>
        <v>500</v>
      </c>
      <c r="AO12" s="200">
        <f t="shared" si="1"/>
        <v>500</v>
      </c>
      <c r="AP12" s="200">
        <f t="shared" si="1"/>
        <v>500</v>
      </c>
      <c r="AQ12" s="200">
        <f t="shared" si="1"/>
        <v>500</v>
      </c>
    </row>
    <row r="13" spans="1:43" s="46" customFormat="1" ht="5.0999999999999996" customHeight="1">
      <c r="B13" s="338"/>
      <c r="C13"/>
      <c r="D13"/>
      <c r="E13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</row>
    <row r="14" spans="1:43" s="46" customFormat="1" ht="13.35" customHeight="1">
      <c r="B14" s="338" t="s">
        <v>333</v>
      </c>
      <c r="C14"/>
      <c r="D14" s="343" t="s">
        <v>294</v>
      </c>
      <c r="E14" s="648">
        <f>'Model Drivers'!$C$14</f>
        <v>2.59887005649718E-5</v>
      </c>
      <c r="H14" s="200">
        <f t="shared" ref="H14:AQ14" si="2">$E$14*H154</f>
        <v>69.294737853107478</v>
      </c>
      <c r="I14" s="200">
        <f t="shared" si="2"/>
        <v>69.294737853107478</v>
      </c>
      <c r="J14" s="200">
        <f t="shared" si="2"/>
        <v>69.294737853107478</v>
      </c>
      <c r="K14" s="200">
        <f t="shared" si="2"/>
        <v>77.091348022599007</v>
      </c>
      <c r="L14" s="200">
        <f t="shared" si="2"/>
        <v>142.06309943502851</v>
      </c>
      <c r="M14" s="200">
        <f t="shared" si="2"/>
        <v>177.14784519774045</v>
      </c>
      <c r="N14" s="200">
        <f t="shared" si="2"/>
        <v>281.10264745762765</v>
      </c>
      <c r="O14" s="200">
        <f t="shared" si="2"/>
        <v>327.88230847457686</v>
      </c>
      <c r="P14" s="200">
        <f t="shared" si="2"/>
        <v>355.17044406779729</v>
      </c>
      <c r="Q14" s="200">
        <f t="shared" si="2"/>
        <v>362.96705423728883</v>
      </c>
      <c r="R14" s="200">
        <f t="shared" si="2"/>
        <v>430.53767570621551</v>
      </c>
      <c r="S14" s="200">
        <f t="shared" si="2"/>
        <v>498.10829717514218</v>
      </c>
      <c r="T14" s="200">
        <f t="shared" si="2"/>
        <v>565.67891864406886</v>
      </c>
      <c r="U14" s="200">
        <f t="shared" si="2"/>
        <v>633.24954011299553</v>
      </c>
      <c r="V14" s="200">
        <f t="shared" si="2"/>
        <v>700.82016158192221</v>
      </c>
      <c r="W14" s="200">
        <f t="shared" si="2"/>
        <v>768.39078305084888</v>
      </c>
      <c r="X14" s="200">
        <f t="shared" si="2"/>
        <v>835.96140451977556</v>
      </c>
      <c r="Y14" s="200">
        <f t="shared" si="2"/>
        <v>903.53202598870223</v>
      </c>
      <c r="Z14" s="200">
        <f t="shared" si="2"/>
        <v>971.1026474576289</v>
      </c>
      <c r="AA14" s="200">
        <f t="shared" si="2"/>
        <v>1038.6732689265557</v>
      </c>
      <c r="AB14" s="200">
        <f t="shared" si="2"/>
        <v>1106.2438903954824</v>
      </c>
      <c r="AC14" s="200">
        <f t="shared" si="2"/>
        <v>1173.814511864409</v>
      </c>
      <c r="AD14" s="200">
        <f t="shared" si="2"/>
        <v>1446.6958677966129</v>
      </c>
      <c r="AE14" s="200">
        <f t="shared" si="2"/>
        <v>1719.5772237288168</v>
      </c>
      <c r="AF14" s="200">
        <f t="shared" si="2"/>
        <v>1992.4585796610206</v>
      </c>
      <c r="AG14" s="200">
        <f t="shared" si="2"/>
        <v>2265.3399355932247</v>
      </c>
      <c r="AH14" s="200">
        <f t="shared" si="2"/>
        <v>2538.2212915254286</v>
      </c>
      <c r="AI14" s="200">
        <f t="shared" si="2"/>
        <v>2811.1026474576324</v>
      </c>
      <c r="AJ14" s="200">
        <f t="shared" si="2"/>
        <v>3081.7504305084803</v>
      </c>
      <c r="AK14" s="200">
        <f t="shared" si="2"/>
        <v>3354.6317864406842</v>
      </c>
      <c r="AL14" s="200">
        <f t="shared" si="2"/>
        <v>3624.1253593220408</v>
      </c>
      <c r="AM14" s="200">
        <f t="shared" si="2"/>
        <v>3897.0067152542447</v>
      </c>
      <c r="AN14" s="200">
        <f t="shared" si="2"/>
        <v>4169.8880711864485</v>
      </c>
      <c r="AO14" s="200">
        <f t="shared" si="2"/>
        <v>4442.7694271186519</v>
      </c>
      <c r="AP14" s="200">
        <f t="shared" si="2"/>
        <v>4715.6507830508563</v>
      </c>
      <c r="AQ14" s="200">
        <f t="shared" si="2"/>
        <v>4988.5321389830606</v>
      </c>
    </row>
    <row r="15" spans="1:43" s="46" customFormat="1" ht="13.35" customHeight="1">
      <c r="H15" s="51"/>
    </row>
    <row r="16" spans="1:43" ht="13.35" customHeight="1">
      <c r="A16" s="124" t="s">
        <v>47</v>
      </c>
      <c r="B16" s="133" t="s">
        <v>242</v>
      </c>
      <c r="C16" s="134"/>
      <c r="D16" s="134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7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4" ht="13.35" customHeight="1">
      <c r="C17" s="5"/>
      <c r="D17" s="5"/>
      <c r="E17" s="5"/>
      <c r="F17" s="138"/>
      <c r="G1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40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40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</row>
    <row r="18" spans="1:44" s="144" customFormat="1" ht="13.35" customHeight="1">
      <c r="A18" s="124" t="s">
        <v>47</v>
      </c>
      <c r="B18" s="310" t="str">
        <f>'Existing Loans + Loan Pipeline'!$B8</f>
        <v>Current Farms</v>
      </c>
      <c r="C18" s="307" t="s">
        <v>115</v>
      </c>
      <c r="D18" s="307" t="s">
        <v>151</v>
      </c>
      <c r="E18" s="307" t="s">
        <v>158</v>
      </c>
      <c r="F18" s="308"/>
      <c r="G18" s="309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11"/>
      <c r="AR18" s="144" t="s">
        <v>47</v>
      </c>
    </row>
    <row r="19" spans="1:44" ht="13.35" customHeight="1">
      <c r="B19" s="321" t="str">
        <f>'Existing Loans + Loan Pipeline'!$B9</f>
        <v>ACRE Detroit</v>
      </c>
      <c r="C19" s="143">
        <f>'Existing Loans + Loan Pipeline'!E9</f>
        <v>85944</v>
      </c>
      <c r="D19" s="312">
        <f>'Existing Loans + Loan Pipeline'!C9</f>
        <v>42906</v>
      </c>
      <c r="E19" s="323">
        <f>$C$8</f>
        <v>5</v>
      </c>
      <c r="F19" s="314">
        <f t="shared" ref="F19:O28" si="3">IF($D19=F$5,$C19,0)</f>
        <v>0</v>
      </c>
      <c r="G19" s="316">
        <f t="shared" si="3"/>
        <v>0</v>
      </c>
      <c r="H19" s="316">
        <f t="shared" si="3"/>
        <v>0</v>
      </c>
      <c r="I19" s="316">
        <f t="shared" si="3"/>
        <v>0</v>
      </c>
      <c r="J19" s="316">
        <f t="shared" si="3"/>
        <v>0</v>
      </c>
      <c r="K19" s="316">
        <f t="shared" si="3"/>
        <v>0</v>
      </c>
      <c r="L19" s="316">
        <f t="shared" si="3"/>
        <v>0</v>
      </c>
      <c r="M19" s="316">
        <f t="shared" si="3"/>
        <v>0</v>
      </c>
      <c r="N19" s="316">
        <f t="shared" si="3"/>
        <v>0</v>
      </c>
      <c r="O19" s="316">
        <f t="shared" si="3"/>
        <v>0</v>
      </c>
      <c r="P19" s="316">
        <f t="shared" ref="P19:Y28" si="4">IF($D19=P$5,$C19,0)</f>
        <v>0</v>
      </c>
      <c r="Q19" s="316">
        <f t="shared" si="4"/>
        <v>0</v>
      </c>
      <c r="R19" s="316">
        <f t="shared" si="4"/>
        <v>0</v>
      </c>
      <c r="S19" s="316">
        <f t="shared" si="4"/>
        <v>0</v>
      </c>
      <c r="T19" s="316">
        <f t="shared" si="4"/>
        <v>0</v>
      </c>
      <c r="U19" s="316">
        <f t="shared" si="4"/>
        <v>0</v>
      </c>
      <c r="V19" s="316">
        <f t="shared" si="4"/>
        <v>0</v>
      </c>
      <c r="W19" s="316">
        <f t="shared" si="4"/>
        <v>0</v>
      </c>
      <c r="X19" s="316">
        <f t="shared" si="4"/>
        <v>0</v>
      </c>
      <c r="Y19" s="316">
        <f t="shared" si="4"/>
        <v>0</v>
      </c>
      <c r="Z19" s="316">
        <f t="shared" ref="Z19:AI28" si="5">IF($D19=Z$5,$C19,0)</f>
        <v>0</v>
      </c>
      <c r="AA19" s="316">
        <f t="shared" si="5"/>
        <v>0</v>
      </c>
      <c r="AB19" s="316">
        <f t="shared" si="5"/>
        <v>0</v>
      </c>
      <c r="AC19" s="316">
        <f t="shared" si="5"/>
        <v>0</v>
      </c>
      <c r="AD19" s="316">
        <f t="shared" si="5"/>
        <v>0</v>
      </c>
      <c r="AE19" s="316">
        <f t="shared" si="5"/>
        <v>0</v>
      </c>
      <c r="AF19" s="316">
        <f t="shared" si="5"/>
        <v>0</v>
      </c>
      <c r="AG19" s="316">
        <f t="shared" si="5"/>
        <v>0</v>
      </c>
      <c r="AH19" s="316">
        <f t="shared" si="5"/>
        <v>0</v>
      </c>
      <c r="AI19" s="316">
        <f t="shared" si="5"/>
        <v>0</v>
      </c>
      <c r="AJ19" s="316">
        <f t="shared" ref="AJ19:AQ28" si="6">IF($D19=AJ$5,$C19,0)</f>
        <v>0</v>
      </c>
      <c r="AK19" s="316">
        <f t="shared" si="6"/>
        <v>0</v>
      </c>
      <c r="AL19" s="316">
        <f t="shared" si="6"/>
        <v>0</v>
      </c>
      <c r="AM19" s="316">
        <f t="shared" si="6"/>
        <v>0</v>
      </c>
      <c r="AN19" s="316">
        <f t="shared" si="6"/>
        <v>0</v>
      </c>
      <c r="AO19" s="316">
        <f t="shared" si="6"/>
        <v>0</v>
      </c>
      <c r="AP19" s="316">
        <f t="shared" si="6"/>
        <v>0</v>
      </c>
      <c r="AQ19" s="316">
        <f t="shared" si="6"/>
        <v>0</v>
      </c>
    </row>
    <row r="20" spans="1:44" ht="13.35" customHeight="1">
      <c r="B20" s="321" t="str">
        <f>'Existing Loans + Loan Pipeline'!$B10</f>
        <v>Fisheye Farms</v>
      </c>
      <c r="C20" s="143">
        <f>'Existing Loans + Loan Pipeline'!E10</f>
        <v>130356</v>
      </c>
      <c r="D20" s="312">
        <f>'Existing Loans + Loan Pipeline'!C10</f>
        <v>42970</v>
      </c>
      <c r="E20" s="323">
        <f t="shared" ref="E20:E74" si="7">$C$8</f>
        <v>5</v>
      </c>
      <c r="F20" s="316">
        <f t="shared" si="3"/>
        <v>0</v>
      </c>
      <c r="G20" s="316">
        <f t="shared" si="3"/>
        <v>0</v>
      </c>
      <c r="H20" s="316">
        <f t="shared" si="3"/>
        <v>0</v>
      </c>
      <c r="I20" s="316">
        <f t="shared" si="3"/>
        <v>0</v>
      </c>
      <c r="J20" s="316">
        <f t="shared" si="3"/>
        <v>0</v>
      </c>
      <c r="K20" s="316">
        <f t="shared" si="3"/>
        <v>0</v>
      </c>
      <c r="L20" s="316">
        <f t="shared" si="3"/>
        <v>0</v>
      </c>
      <c r="M20" s="316">
        <f t="shared" si="3"/>
        <v>0</v>
      </c>
      <c r="N20" s="316">
        <f t="shared" si="3"/>
        <v>0</v>
      </c>
      <c r="O20" s="316">
        <f t="shared" si="3"/>
        <v>0</v>
      </c>
      <c r="P20" s="316">
        <f t="shared" si="4"/>
        <v>0</v>
      </c>
      <c r="Q20" s="316">
        <f t="shared" si="4"/>
        <v>0</v>
      </c>
      <c r="R20" s="316">
        <f t="shared" si="4"/>
        <v>0</v>
      </c>
      <c r="S20" s="316">
        <f t="shared" si="4"/>
        <v>0</v>
      </c>
      <c r="T20" s="316">
        <f t="shared" si="4"/>
        <v>0</v>
      </c>
      <c r="U20" s="316">
        <f t="shared" si="4"/>
        <v>0</v>
      </c>
      <c r="V20" s="316">
        <f t="shared" si="4"/>
        <v>0</v>
      </c>
      <c r="W20" s="316">
        <f t="shared" si="4"/>
        <v>0</v>
      </c>
      <c r="X20" s="316">
        <f t="shared" si="4"/>
        <v>0</v>
      </c>
      <c r="Y20" s="316">
        <f t="shared" si="4"/>
        <v>0</v>
      </c>
      <c r="Z20" s="316">
        <f t="shared" si="5"/>
        <v>0</v>
      </c>
      <c r="AA20" s="316">
        <f t="shared" si="5"/>
        <v>0</v>
      </c>
      <c r="AB20" s="316">
        <f t="shared" si="5"/>
        <v>0</v>
      </c>
      <c r="AC20" s="316">
        <f t="shared" si="5"/>
        <v>0</v>
      </c>
      <c r="AD20" s="316">
        <f t="shared" si="5"/>
        <v>0</v>
      </c>
      <c r="AE20" s="316">
        <f t="shared" si="5"/>
        <v>0</v>
      </c>
      <c r="AF20" s="316">
        <f t="shared" si="5"/>
        <v>0</v>
      </c>
      <c r="AG20" s="316">
        <f t="shared" si="5"/>
        <v>0</v>
      </c>
      <c r="AH20" s="316">
        <f t="shared" si="5"/>
        <v>0</v>
      </c>
      <c r="AI20" s="316">
        <f t="shared" si="5"/>
        <v>0</v>
      </c>
      <c r="AJ20" s="316">
        <f t="shared" si="6"/>
        <v>0</v>
      </c>
      <c r="AK20" s="316">
        <f t="shared" si="6"/>
        <v>0</v>
      </c>
      <c r="AL20" s="316">
        <f t="shared" si="6"/>
        <v>0</v>
      </c>
      <c r="AM20" s="316">
        <f t="shared" si="6"/>
        <v>0</v>
      </c>
      <c r="AN20" s="316">
        <f t="shared" si="6"/>
        <v>0</v>
      </c>
      <c r="AO20" s="316">
        <f t="shared" si="6"/>
        <v>0</v>
      </c>
      <c r="AP20" s="316">
        <f t="shared" si="6"/>
        <v>0</v>
      </c>
      <c r="AQ20" s="316">
        <f t="shared" si="6"/>
        <v>0</v>
      </c>
    </row>
    <row r="21" spans="1:44" ht="13.35" customHeight="1">
      <c r="B21" s="321" t="str">
        <f>'Existing Loans + Loan Pipeline'!$B11</f>
        <v>Beiler’s Heritage Acres</v>
      </c>
      <c r="C21" s="143">
        <f>'Existing Loans + Loan Pipeline'!E11</f>
        <v>575701</v>
      </c>
      <c r="D21" s="312">
        <f>'Existing Loans + Loan Pipeline'!C11</f>
        <v>43266</v>
      </c>
      <c r="E21" s="323">
        <f t="shared" si="7"/>
        <v>5</v>
      </c>
      <c r="F21" s="316">
        <f t="shared" si="3"/>
        <v>0</v>
      </c>
      <c r="G21" s="316">
        <f t="shared" si="3"/>
        <v>0</v>
      </c>
      <c r="H21" s="316">
        <f t="shared" si="3"/>
        <v>0</v>
      </c>
      <c r="I21" s="316">
        <f t="shared" si="3"/>
        <v>0</v>
      </c>
      <c r="J21" s="316">
        <f t="shared" si="3"/>
        <v>0</v>
      </c>
      <c r="K21" s="316">
        <f t="shared" si="3"/>
        <v>0</v>
      </c>
      <c r="L21" s="316">
        <f t="shared" si="3"/>
        <v>0</v>
      </c>
      <c r="M21" s="316">
        <f t="shared" si="3"/>
        <v>0</v>
      </c>
      <c r="N21" s="316">
        <f t="shared" si="3"/>
        <v>0</v>
      </c>
      <c r="O21" s="316">
        <f t="shared" si="3"/>
        <v>0</v>
      </c>
      <c r="P21" s="316">
        <f t="shared" si="4"/>
        <v>0</v>
      </c>
      <c r="Q21" s="316">
        <f t="shared" si="4"/>
        <v>0</v>
      </c>
      <c r="R21" s="316">
        <f t="shared" si="4"/>
        <v>0</v>
      </c>
      <c r="S21" s="316">
        <f t="shared" si="4"/>
        <v>0</v>
      </c>
      <c r="T21" s="316">
        <f t="shared" si="4"/>
        <v>0</v>
      </c>
      <c r="U21" s="316">
        <f t="shared" si="4"/>
        <v>0</v>
      </c>
      <c r="V21" s="316">
        <f t="shared" si="4"/>
        <v>0</v>
      </c>
      <c r="W21" s="316">
        <f t="shared" si="4"/>
        <v>0</v>
      </c>
      <c r="X21" s="316">
        <f t="shared" si="4"/>
        <v>0</v>
      </c>
      <c r="Y21" s="316">
        <f t="shared" si="4"/>
        <v>0</v>
      </c>
      <c r="Z21" s="316">
        <f t="shared" si="5"/>
        <v>0</v>
      </c>
      <c r="AA21" s="316">
        <f t="shared" si="5"/>
        <v>0</v>
      </c>
      <c r="AB21" s="316">
        <f t="shared" si="5"/>
        <v>0</v>
      </c>
      <c r="AC21" s="316">
        <f t="shared" si="5"/>
        <v>0</v>
      </c>
      <c r="AD21" s="316">
        <f t="shared" si="5"/>
        <v>0</v>
      </c>
      <c r="AE21" s="316">
        <f t="shared" si="5"/>
        <v>0</v>
      </c>
      <c r="AF21" s="316">
        <f t="shared" si="5"/>
        <v>0</v>
      </c>
      <c r="AG21" s="316">
        <f t="shared" si="5"/>
        <v>0</v>
      </c>
      <c r="AH21" s="316">
        <f t="shared" si="5"/>
        <v>0</v>
      </c>
      <c r="AI21" s="316">
        <f t="shared" si="5"/>
        <v>0</v>
      </c>
      <c r="AJ21" s="316">
        <f t="shared" si="6"/>
        <v>0</v>
      </c>
      <c r="AK21" s="316">
        <f t="shared" si="6"/>
        <v>0</v>
      </c>
      <c r="AL21" s="316">
        <f t="shared" si="6"/>
        <v>0</v>
      </c>
      <c r="AM21" s="316">
        <f t="shared" si="6"/>
        <v>0</v>
      </c>
      <c r="AN21" s="316">
        <f t="shared" si="6"/>
        <v>0</v>
      </c>
      <c r="AO21" s="316">
        <f t="shared" si="6"/>
        <v>0</v>
      </c>
      <c r="AP21" s="316">
        <f t="shared" si="6"/>
        <v>0</v>
      </c>
      <c r="AQ21" s="316">
        <f t="shared" si="6"/>
        <v>0</v>
      </c>
    </row>
    <row r="22" spans="1:44" ht="13.35" customHeight="1">
      <c r="B22" s="321" t="str">
        <f>'Existing Loans + Loan Pipeline'!$B12</f>
        <v>Eastfork Cultivars / Hope Mountain</v>
      </c>
      <c r="C22" s="143">
        <f>'Existing Loans + Loan Pipeline'!E12</f>
        <v>642473</v>
      </c>
      <c r="D22" s="312">
        <f>'Existing Loans + Loan Pipeline'!C12</f>
        <v>43293</v>
      </c>
      <c r="E22" s="323">
        <f t="shared" si="7"/>
        <v>5</v>
      </c>
      <c r="F22" s="316">
        <f t="shared" si="3"/>
        <v>0</v>
      </c>
      <c r="G22" s="316">
        <f t="shared" si="3"/>
        <v>0</v>
      </c>
      <c r="H22" s="316">
        <f t="shared" si="3"/>
        <v>0</v>
      </c>
      <c r="I22" s="316">
        <f t="shared" si="3"/>
        <v>0</v>
      </c>
      <c r="J22" s="316">
        <f t="shared" si="3"/>
        <v>0</v>
      </c>
      <c r="K22" s="316">
        <f t="shared" si="3"/>
        <v>0</v>
      </c>
      <c r="L22" s="316">
        <f t="shared" si="3"/>
        <v>0</v>
      </c>
      <c r="M22" s="316">
        <f t="shared" si="3"/>
        <v>0</v>
      </c>
      <c r="N22" s="316">
        <f t="shared" si="3"/>
        <v>0</v>
      </c>
      <c r="O22" s="316">
        <f t="shared" si="3"/>
        <v>0</v>
      </c>
      <c r="P22" s="316">
        <f t="shared" si="4"/>
        <v>0</v>
      </c>
      <c r="Q22" s="316">
        <f t="shared" si="4"/>
        <v>0</v>
      </c>
      <c r="R22" s="316">
        <f t="shared" si="4"/>
        <v>0</v>
      </c>
      <c r="S22" s="316">
        <f t="shared" si="4"/>
        <v>0</v>
      </c>
      <c r="T22" s="316">
        <f t="shared" si="4"/>
        <v>0</v>
      </c>
      <c r="U22" s="316">
        <f t="shared" si="4"/>
        <v>0</v>
      </c>
      <c r="V22" s="316">
        <f t="shared" si="4"/>
        <v>0</v>
      </c>
      <c r="W22" s="316">
        <f t="shared" si="4"/>
        <v>0</v>
      </c>
      <c r="X22" s="316">
        <f t="shared" si="4"/>
        <v>0</v>
      </c>
      <c r="Y22" s="316">
        <f t="shared" si="4"/>
        <v>0</v>
      </c>
      <c r="Z22" s="316">
        <f t="shared" si="5"/>
        <v>0</v>
      </c>
      <c r="AA22" s="316">
        <f t="shared" si="5"/>
        <v>0</v>
      </c>
      <c r="AB22" s="316">
        <f t="shared" si="5"/>
        <v>0</v>
      </c>
      <c r="AC22" s="316">
        <f t="shared" si="5"/>
        <v>0</v>
      </c>
      <c r="AD22" s="316">
        <f t="shared" si="5"/>
        <v>0</v>
      </c>
      <c r="AE22" s="316">
        <f t="shared" si="5"/>
        <v>0</v>
      </c>
      <c r="AF22" s="316">
        <f t="shared" si="5"/>
        <v>0</v>
      </c>
      <c r="AG22" s="316">
        <f t="shared" si="5"/>
        <v>0</v>
      </c>
      <c r="AH22" s="316">
        <f t="shared" si="5"/>
        <v>0</v>
      </c>
      <c r="AI22" s="316">
        <f t="shared" si="5"/>
        <v>0</v>
      </c>
      <c r="AJ22" s="316">
        <f t="shared" si="6"/>
        <v>0</v>
      </c>
      <c r="AK22" s="316">
        <f t="shared" si="6"/>
        <v>0</v>
      </c>
      <c r="AL22" s="316">
        <f t="shared" si="6"/>
        <v>0</v>
      </c>
      <c r="AM22" s="316">
        <f t="shared" si="6"/>
        <v>0</v>
      </c>
      <c r="AN22" s="316">
        <f t="shared" si="6"/>
        <v>0</v>
      </c>
      <c r="AO22" s="316">
        <f t="shared" si="6"/>
        <v>0</v>
      </c>
      <c r="AP22" s="316">
        <f t="shared" si="6"/>
        <v>0</v>
      </c>
      <c r="AQ22" s="316">
        <f t="shared" si="6"/>
        <v>0</v>
      </c>
    </row>
    <row r="23" spans="1:44" ht="13.35" customHeight="1">
      <c r="B23" s="321" t="str">
        <f>'Existing Loans + Loan Pipeline'!$B13</f>
        <v>Domaine Julien Guillon</v>
      </c>
      <c r="C23" s="143">
        <f>'Existing Loans + Loan Pipeline'!E13</f>
        <v>164165</v>
      </c>
      <c r="D23" s="312">
        <f>'Existing Loans + Loan Pipeline'!C13</f>
        <v>43311</v>
      </c>
      <c r="E23" s="323">
        <f t="shared" si="7"/>
        <v>5</v>
      </c>
      <c r="F23" s="316">
        <f t="shared" si="3"/>
        <v>0</v>
      </c>
      <c r="G23" s="316">
        <f t="shared" si="3"/>
        <v>0</v>
      </c>
      <c r="H23" s="316">
        <f t="shared" si="3"/>
        <v>0</v>
      </c>
      <c r="I23" s="316">
        <f t="shared" si="3"/>
        <v>0</v>
      </c>
      <c r="J23" s="316">
        <f t="shared" si="3"/>
        <v>0</v>
      </c>
      <c r="K23" s="316">
        <f t="shared" si="3"/>
        <v>0</v>
      </c>
      <c r="L23" s="316">
        <f t="shared" si="3"/>
        <v>0</v>
      </c>
      <c r="M23" s="316">
        <f t="shared" si="3"/>
        <v>0</v>
      </c>
      <c r="N23" s="316">
        <f t="shared" si="3"/>
        <v>0</v>
      </c>
      <c r="O23" s="316">
        <f t="shared" si="3"/>
        <v>0</v>
      </c>
      <c r="P23" s="316">
        <f t="shared" si="4"/>
        <v>0</v>
      </c>
      <c r="Q23" s="316">
        <f t="shared" si="4"/>
        <v>0</v>
      </c>
      <c r="R23" s="316">
        <f t="shared" si="4"/>
        <v>0</v>
      </c>
      <c r="S23" s="316">
        <f t="shared" si="4"/>
        <v>0</v>
      </c>
      <c r="T23" s="316">
        <f t="shared" si="4"/>
        <v>0</v>
      </c>
      <c r="U23" s="316">
        <f t="shared" si="4"/>
        <v>0</v>
      </c>
      <c r="V23" s="316">
        <f t="shared" si="4"/>
        <v>0</v>
      </c>
      <c r="W23" s="316">
        <f t="shared" si="4"/>
        <v>0</v>
      </c>
      <c r="X23" s="316">
        <f t="shared" si="4"/>
        <v>0</v>
      </c>
      <c r="Y23" s="316">
        <f t="shared" si="4"/>
        <v>0</v>
      </c>
      <c r="Z23" s="316">
        <f t="shared" si="5"/>
        <v>0</v>
      </c>
      <c r="AA23" s="316">
        <f t="shared" si="5"/>
        <v>0</v>
      </c>
      <c r="AB23" s="316">
        <f t="shared" si="5"/>
        <v>0</v>
      </c>
      <c r="AC23" s="316">
        <f t="shared" si="5"/>
        <v>0</v>
      </c>
      <c r="AD23" s="316">
        <f t="shared" si="5"/>
        <v>0</v>
      </c>
      <c r="AE23" s="316">
        <f t="shared" si="5"/>
        <v>0</v>
      </c>
      <c r="AF23" s="316">
        <f t="shared" si="5"/>
        <v>0</v>
      </c>
      <c r="AG23" s="316">
        <f t="shared" si="5"/>
        <v>0</v>
      </c>
      <c r="AH23" s="316">
        <f t="shared" si="5"/>
        <v>0</v>
      </c>
      <c r="AI23" s="316">
        <f t="shared" si="5"/>
        <v>0</v>
      </c>
      <c r="AJ23" s="316">
        <f t="shared" si="6"/>
        <v>0</v>
      </c>
      <c r="AK23" s="316">
        <f t="shared" si="6"/>
        <v>0</v>
      </c>
      <c r="AL23" s="316">
        <f t="shared" si="6"/>
        <v>0</v>
      </c>
      <c r="AM23" s="316">
        <f t="shared" si="6"/>
        <v>0</v>
      </c>
      <c r="AN23" s="316">
        <f t="shared" si="6"/>
        <v>0</v>
      </c>
      <c r="AO23" s="316">
        <f t="shared" si="6"/>
        <v>0</v>
      </c>
      <c r="AP23" s="316">
        <f t="shared" si="6"/>
        <v>0</v>
      </c>
      <c r="AQ23" s="316">
        <f t="shared" si="6"/>
        <v>0</v>
      </c>
    </row>
    <row r="24" spans="1:44" ht="13.35" customHeight="1">
      <c r="B24" s="321" t="str">
        <f>'Existing Loans + Loan Pipeline'!$B14</f>
        <v xml:space="preserve">Iverstine Family Farm </v>
      </c>
      <c r="C24" s="143">
        <f>'Existing Loans + Loan Pipeline'!E14</f>
        <v>265536</v>
      </c>
      <c r="D24" s="312">
        <f>'Existing Loans + Loan Pipeline'!C14</f>
        <v>43335</v>
      </c>
      <c r="E24" s="323">
        <f t="shared" si="7"/>
        <v>5</v>
      </c>
      <c r="F24" s="316">
        <f t="shared" si="3"/>
        <v>0</v>
      </c>
      <c r="G24" s="316">
        <f t="shared" si="3"/>
        <v>0</v>
      </c>
      <c r="H24" s="316">
        <f t="shared" si="3"/>
        <v>0</v>
      </c>
      <c r="I24" s="316">
        <f t="shared" si="3"/>
        <v>0</v>
      </c>
      <c r="J24" s="316">
        <f t="shared" si="3"/>
        <v>0</v>
      </c>
      <c r="K24" s="316">
        <f t="shared" si="3"/>
        <v>0</v>
      </c>
      <c r="L24" s="316">
        <f t="shared" si="3"/>
        <v>0</v>
      </c>
      <c r="M24" s="316">
        <f t="shared" si="3"/>
        <v>0</v>
      </c>
      <c r="N24" s="316">
        <f t="shared" si="3"/>
        <v>0</v>
      </c>
      <c r="O24" s="316">
        <f t="shared" si="3"/>
        <v>0</v>
      </c>
      <c r="P24" s="316">
        <f t="shared" si="4"/>
        <v>0</v>
      </c>
      <c r="Q24" s="316">
        <f t="shared" si="4"/>
        <v>0</v>
      </c>
      <c r="R24" s="316">
        <f t="shared" si="4"/>
        <v>0</v>
      </c>
      <c r="S24" s="316">
        <f t="shared" si="4"/>
        <v>0</v>
      </c>
      <c r="T24" s="316">
        <f t="shared" si="4"/>
        <v>0</v>
      </c>
      <c r="U24" s="316">
        <f t="shared" si="4"/>
        <v>0</v>
      </c>
      <c r="V24" s="316">
        <f t="shared" si="4"/>
        <v>0</v>
      </c>
      <c r="W24" s="316">
        <f t="shared" si="4"/>
        <v>0</v>
      </c>
      <c r="X24" s="316">
        <f t="shared" si="4"/>
        <v>0</v>
      </c>
      <c r="Y24" s="316">
        <f t="shared" si="4"/>
        <v>0</v>
      </c>
      <c r="Z24" s="316">
        <f t="shared" si="5"/>
        <v>0</v>
      </c>
      <c r="AA24" s="316">
        <f t="shared" si="5"/>
        <v>0</v>
      </c>
      <c r="AB24" s="316">
        <f t="shared" si="5"/>
        <v>0</v>
      </c>
      <c r="AC24" s="316">
        <f t="shared" si="5"/>
        <v>0</v>
      </c>
      <c r="AD24" s="316">
        <f t="shared" si="5"/>
        <v>0</v>
      </c>
      <c r="AE24" s="316">
        <f t="shared" si="5"/>
        <v>0</v>
      </c>
      <c r="AF24" s="316">
        <f t="shared" si="5"/>
        <v>0</v>
      </c>
      <c r="AG24" s="316">
        <f t="shared" si="5"/>
        <v>0</v>
      </c>
      <c r="AH24" s="316">
        <f t="shared" si="5"/>
        <v>0</v>
      </c>
      <c r="AI24" s="316">
        <f t="shared" si="5"/>
        <v>0</v>
      </c>
      <c r="AJ24" s="316">
        <f t="shared" si="6"/>
        <v>0</v>
      </c>
      <c r="AK24" s="316">
        <f t="shared" si="6"/>
        <v>0</v>
      </c>
      <c r="AL24" s="316">
        <f t="shared" si="6"/>
        <v>0</v>
      </c>
      <c r="AM24" s="316">
        <f t="shared" si="6"/>
        <v>0</v>
      </c>
      <c r="AN24" s="316">
        <f t="shared" si="6"/>
        <v>0</v>
      </c>
      <c r="AO24" s="316">
        <f t="shared" si="6"/>
        <v>0</v>
      </c>
      <c r="AP24" s="316">
        <f t="shared" si="6"/>
        <v>0</v>
      </c>
      <c r="AQ24" s="316">
        <f t="shared" si="6"/>
        <v>0</v>
      </c>
    </row>
    <row r="25" spans="1:44" ht="13.35" customHeight="1">
      <c r="B25" s="321" t="str">
        <f>'Existing Loans + Loan Pipeline'!$B15</f>
        <v xml:space="preserve">Dusty Roads Farm </v>
      </c>
      <c r="C25" s="143">
        <f>'Existing Loans + Loan Pipeline'!E15</f>
        <v>58927</v>
      </c>
      <c r="D25" s="312">
        <f>'Existing Loans + Loan Pipeline'!C15</f>
        <v>43392</v>
      </c>
      <c r="E25" s="323">
        <f t="shared" si="7"/>
        <v>5</v>
      </c>
      <c r="F25" s="316">
        <f t="shared" si="3"/>
        <v>0</v>
      </c>
      <c r="G25" s="316">
        <f t="shared" si="3"/>
        <v>0</v>
      </c>
      <c r="H25" s="316">
        <f t="shared" si="3"/>
        <v>0</v>
      </c>
      <c r="I25" s="316">
        <f t="shared" si="3"/>
        <v>0</v>
      </c>
      <c r="J25" s="316">
        <f t="shared" si="3"/>
        <v>0</v>
      </c>
      <c r="K25" s="316">
        <f t="shared" si="3"/>
        <v>0</v>
      </c>
      <c r="L25" s="316">
        <f t="shared" si="3"/>
        <v>0</v>
      </c>
      <c r="M25" s="316">
        <f t="shared" si="3"/>
        <v>0</v>
      </c>
      <c r="N25" s="316">
        <f t="shared" si="3"/>
        <v>0</v>
      </c>
      <c r="O25" s="316">
        <f t="shared" si="3"/>
        <v>0</v>
      </c>
      <c r="P25" s="316">
        <f t="shared" si="4"/>
        <v>0</v>
      </c>
      <c r="Q25" s="316">
        <f t="shared" si="4"/>
        <v>0</v>
      </c>
      <c r="R25" s="316">
        <f t="shared" si="4"/>
        <v>0</v>
      </c>
      <c r="S25" s="316">
        <f t="shared" si="4"/>
        <v>0</v>
      </c>
      <c r="T25" s="316">
        <f t="shared" si="4"/>
        <v>0</v>
      </c>
      <c r="U25" s="316">
        <f t="shared" si="4"/>
        <v>0</v>
      </c>
      <c r="V25" s="316">
        <f t="shared" si="4"/>
        <v>0</v>
      </c>
      <c r="W25" s="316">
        <f t="shared" si="4"/>
        <v>0</v>
      </c>
      <c r="X25" s="316">
        <f t="shared" si="4"/>
        <v>0</v>
      </c>
      <c r="Y25" s="316">
        <f t="shared" si="4"/>
        <v>0</v>
      </c>
      <c r="Z25" s="316">
        <f t="shared" si="5"/>
        <v>0</v>
      </c>
      <c r="AA25" s="316">
        <f t="shared" si="5"/>
        <v>0</v>
      </c>
      <c r="AB25" s="316">
        <f t="shared" si="5"/>
        <v>0</v>
      </c>
      <c r="AC25" s="316">
        <f t="shared" si="5"/>
        <v>0</v>
      </c>
      <c r="AD25" s="316">
        <f t="shared" si="5"/>
        <v>0</v>
      </c>
      <c r="AE25" s="316">
        <f t="shared" si="5"/>
        <v>0</v>
      </c>
      <c r="AF25" s="316">
        <f t="shared" si="5"/>
        <v>0</v>
      </c>
      <c r="AG25" s="316">
        <f t="shared" si="5"/>
        <v>0</v>
      </c>
      <c r="AH25" s="316">
        <f t="shared" si="5"/>
        <v>0</v>
      </c>
      <c r="AI25" s="316">
        <f t="shared" si="5"/>
        <v>0</v>
      </c>
      <c r="AJ25" s="316">
        <f t="shared" si="6"/>
        <v>0</v>
      </c>
      <c r="AK25" s="316">
        <f t="shared" si="6"/>
        <v>0</v>
      </c>
      <c r="AL25" s="316">
        <f t="shared" si="6"/>
        <v>0</v>
      </c>
      <c r="AM25" s="316">
        <f t="shared" si="6"/>
        <v>0</v>
      </c>
      <c r="AN25" s="316">
        <f t="shared" si="6"/>
        <v>0</v>
      </c>
      <c r="AO25" s="316">
        <f t="shared" si="6"/>
        <v>0</v>
      </c>
      <c r="AP25" s="316">
        <f t="shared" si="6"/>
        <v>0</v>
      </c>
      <c r="AQ25" s="316">
        <f t="shared" si="6"/>
        <v>0</v>
      </c>
    </row>
    <row r="26" spans="1:44" ht="13.35" customHeight="1">
      <c r="B26" s="321" t="str">
        <f>'Existing Loans + Loan Pipeline'!$B16</f>
        <v>ShangriLa Farms / Stewardship Sustainable Farm</v>
      </c>
      <c r="C26" s="143">
        <f>'Existing Loans + Loan Pipeline'!E16</f>
        <v>397239</v>
      </c>
      <c r="D26" s="312">
        <f>'Existing Loans + Loan Pipeline'!C16</f>
        <v>43438</v>
      </c>
      <c r="E26" s="323">
        <f t="shared" si="7"/>
        <v>5</v>
      </c>
      <c r="F26" s="316">
        <f t="shared" si="3"/>
        <v>0</v>
      </c>
      <c r="G26" s="316">
        <f t="shared" si="3"/>
        <v>0</v>
      </c>
      <c r="H26" s="316">
        <f t="shared" si="3"/>
        <v>0</v>
      </c>
      <c r="I26" s="316">
        <f t="shared" si="3"/>
        <v>0</v>
      </c>
      <c r="J26" s="316">
        <f t="shared" si="3"/>
        <v>0</v>
      </c>
      <c r="K26" s="316">
        <f t="shared" si="3"/>
        <v>0</v>
      </c>
      <c r="L26" s="316">
        <f t="shared" si="3"/>
        <v>0</v>
      </c>
      <c r="M26" s="316">
        <f t="shared" si="3"/>
        <v>0</v>
      </c>
      <c r="N26" s="316">
        <f t="shared" si="3"/>
        <v>0</v>
      </c>
      <c r="O26" s="316">
        <f t="shared" si="3"/>
        <v>0</v>
      </c>
      <c r="P26" s="316">
        <f t="shared" si="4"/>
        <v>0</v>
      </c>
      <c r="Q26" s="316">
        <f t="shared" si="4"/>
        <v>0</v>
      </c>
      <c r="R26" s="316">
        <f t="shared" si="4"/>
        <v>0</v>
      </c>
      <c r="S26" s="316">
        <f t="shared" si="4"/>
        <v>0</v>
      </c>
      <c r="T26" s="316">
        <f t="shared" si="4"/>
        <v>0</v>
      </c>
      <c r="U26" s="316">
        <f t="shared" si="4"/>
        <v>0</v>
      </c>
      <c r="V26" s="316">
        <f t="shared" si="4"/>
        <v>0</v>
      </c>
      <c r="W26" s="316">
        <f t="shared" si="4"/>
        <v>0</v>
      </c>
      <c r="X26" s="316">
        <f t="shared" si="4"/>
        <v>0</v>
      </c>
      <c r="Y26" s="316">
        <f t="shared" si="4"/>
        <v>0</v>
      </c>
      <c r="Z26" s="316">
        <f t="shared" si="5"/>
        <v>0</v>
      </c>
      <c r="AA26" s="316">
        <f t="shared" si="5"/>
        <v>0</v>
      </c>
      <c r="AB26" s="316">
        <f t="shared" si="5"/>
        <v>0</v>
      </c>
      <c r="AC26" s="316">
        <f t="shared" si="5"/>
        <v>0</v>
      </c>
      <c r="AD26" s="316">
        <f t="shared" si="5"/>
        <v>0</v>
      </c>
      <c r="AE26" s="316">
        <f t="shared" si="5"/>
        <v>0</v>
      </c>
      <c r="AF26" s="316">
        <f t="shared" si="5"/>
        <v>0</v>
      </c>
      <c r="AG26" s="316">
        <f t="shared" si="5"/>
        <v>0</v>
      </c>
      <c r="AH26" s="316">
        <f t="shared" si="5"/>
        <v>0</v>
      </c>
      <c r="AI26" s="316">
        <f t="shared" si="5"/>
        <v>0</v>
      </c>
      <c r="AJ26" s="316">
        <f t="shared" si="6"/>
        <v>0</v>
      </c>
      <c r="AK26" s="316">
        <f t="shared" si="6"/>
        <v>0</v>
      </c>
      <c r="AL26" s="316">
        <f t="shared" si="6"/>
        <v>0</v>
      </c>
      <c r="AM26" s="316">
        <f t="shared" si="6"/>
        <v>0</v>
      </c>
      <c r="AN26" s="316">
        <f t="shared" si="6"/>
        <v>0</v>
      </c>
      <c r="AO26" s="316">
        <f t="shared" si="6"/>
        <v>0</v>
      </c>
      <c r="AP26" s="316">
        <f t="shared" si="6"/>
        <v>0</v>
      </c>
      <c r="AQ26" s="316">
        <f t="shared" si="6"/>
        <v>0</v>
      </c>
    </row>
    <row r="27" spans="1:44" ht="13.35" customHeight="1">
      <c r="B27" s="321" t="str">
        <f>'Existing Loans + Loan Pipeline'!$B17</f>
        <v>Naked Acres</v>
      </c>
      <c r="C27" s="143">
        <f>'Existing Loans + Loan Pipeline'!E17</f>
        <v>100000</v>
      </c>
      <c r="D27" s="312">
        <f>'Existing Loans + Loan Pipeline'!C17</f>
        <v>43521</v>
      </c>
      <c r="E27" s="323">
        <f t="shared" si="7"/>
        <v>5</v>
      </c>
      <c r="F27" s="316">
        <f t="shared" si="3"/>
        <v>0</v>
      </c>
      <c r="G27" s="316">
        <f t="shared" si="3"/>
        <v>0</v>
      </c>
      <c r="H27" s="316">
        <f t="shared" si="3"/>
        <v>0</v>
      </c>
      <c r="I27" s="316">
        <f t="shared" si="3"/>
        <v>0</v>
      </c>
      <c r="J27" s="316">
        <f t="shared" si="3"/>
        <v>0</v>
      </c>
      <c r="K27" s="316">
        <f t="shared" si="3"/>
        <v>0</v>
      </c>
      <c r="L27" s="316">
        <f t="shared" si="3"/>
        <v>0</v>
      </c>
      <c r="M27" s="316">
        <f t="shared" si="3"/>
        <v>0</v>
      </c>
      <c r="N27" s="316">
        <f t="shared" si="3"/>
        <v>0</v>
      </c>
      <c r="O27" s="316">
        <f t="shared" si="3"/>
        <v>0</v>
      </c>
      <c r="P27" s="316">
        <f t="shared" si="4"/>
        <v>0</v>
      </c>
      <c r="Q27" s="316">
        <f t="shared" si="4"/>
        <v>0</v>
      </c>
      <c r="R27" s="316">
        <f t="shared" si="4"/>
        <v>0</v>
      </c>
      <c r="S27" s="316">
        <f t="shared" si="4"/>
        <v>0</v>
      </c>
      <c r="T27" s="316">
        <f t="shared" si="4"/>
        <v>0</v>
      </c>
      <c r="U27" s="316">
        <f t="shared" si="4"/>
        <v>0</v>
      </c>
      <c r="V27" s="316">
        <f t="shared" si="4"/>
        <v>0</v>
      </c>
      <c r="W27" s="316">
        <f t="shared" si="4"/>
        <v>0</v>
      </c>
      <c r="X27" s="316">
        <f t="shared" si="4"/>
        <v>0</v>
      </c>
      <c r="Y27" s="316">
        <f t="shared" si="4"/>
        <v>0</v>
      </c>
      <c r="Z27" s="316">
        <f t="shared" si="5"/>
        <v>0</v>
      </c>
      <c r="AA27" s="316">
        <f t="shared" si="5"/>
        <v>0</v>
      </c>
      <c r="AB27" s="316">
        <f t="shared" si="5"/>
        <v>0</v>
      </c>
      <c r="AC27" s="316">
        <f t="shared" si="5"/>
        <v>0</v>
      </c>
      <c r="AD27" s="316">
        <f t="shared" si="5"/>
        <v>0</v>
      </c>
      <c r="AE27" s="316">
        <f t="shared" si="5"/>
        <v>0</v>
      </c>
      <c r="AF27" s="316">
        <f t="shared" si="5"/>
        <v>0</v>
      </c>
      <c r="AG27" s="316">
        <f t="shared" si="5"/>
        <v>0</v>
      </c>
      <c r="AH27" s="316">
        <f t="shared" si="5"/>
        <v>0</v>
      </c>
      <c r="AI27" s="316">
        <f t="shared" si="5"/>
        <v>0</v>
      </c>
      <c r="AJ27" s="316">
        <f t="shared" si="6"/>
        <v>0</v>
      </c>
      <c r="AK27" s="316">
        <f t="shared" si="6"/>
        <v>0</v>
      </c>
      <c r="AL27" s="316">
        <f t="shared" si="6"/>
        <v>0</v>
      </c>
      <c r="AM27" s="316">
        <f t="shared" si="6"/>
        <v>0</v>
      </c>
      <c r="AN27" s="316">
        <f t="shared" si="6"/>
        <v>0</v>
      </c>
      <c r="AO27" s="316">
        <f t="shared" si="6"/>
        <v>0</v>
      </c>
      <c r="AP27" s="316">
        <f t="shared" si="6"/>
        <v>0</v>
      </c>
      <c r="AQ27" s="316">
        <f t="shared" si="6"/>
        <v>0</v>
      </c>
    </row>
    <row r="28" spans="1:44" ht="13.35" customHeight="1">
      <c r="B28" s="321" t="str">
        <f>'Existing Loans + Loan Pipeline'!$B18</f>
        <v>Fleischer Family Farm</v>
      </c>
      <c r="C28" s="143">
        <f>'Existing Loans + Loan Pipeline'!E18</f>
        <v>147769</v>
      </c>
      <c r="D28" s="312">
        <f>'Existing Loans + Loan Pipeline'!C18</f>
        <v>43525</v>
      </c>
      <c r="E28" s="323">
        <f t="shared" si="7"/>
        <v>5</v>
      </c>
      <c r="F28" s="316">
        <f t="shared" si="3"/>
        <v>0</v>
      </c>
      <c r="G28" s="316">
        <f t="shared" si="3"/>
        <v>0</v>
      </c>
      <c r="H28" s="316">
        <f t="shared" si="3"/>
        <v>0</v>
      </c>
      <c r="I28" s="316">
        <f t="shared" si="3"/>
        <v>0</v>
      </c>
      <c r="J28" s="316">
        <f t="shared" si="3"/>
        <v>0</v>
      </c>
      <c r="K28" s="316">
        <f t="shared" si="3"/>
        <v>0</v>
      </c>
      <c r="L28" s="316">
        <f t="shared" si="3"/>
        <v>0</v>
      </c>
      <c r="M28" s="316">
        <f t="shared" si="3"/>
        <v>0</v>
      </c>
      <c r="N28" s="316">
        <f t="shared" si="3"/>
        <v>0</v>
      </c>
      <c r="O28" s="316">
        <f t="shared" si="3"/>
        <v>0</v>
      </c>
      <c r="P28" s="316">
        <f t="shared" si="4"/>
        <v>0</v>
      </c>
      <c r="Q28" s="316">
        <f t="shared" si="4"/>
        <v>0</v>
      </c>
      <c r="R28" s="316">
        <f t="shared" si="4"/>
        <v>0</v>
      </c>
      <c r="S28" s="316">
        <f t="shared" si="4"/>
        <v>0</v>
      </c>
      <c r="T28" s="316">
        <f t="shared" si="4"/>
        <v>0</v>
      </c>
      <c r="U28" s="316">
        <f t="shared" si="4"/>
        <v>0</v>
      </c>
      <c r="V28" s="316">
        <f t="shared" si="4"/>
        <v>0</v>
      </c>
      <c r="W28" s="316">
        <f t="shared" si="4"/>
        <v>0</v>
      </c>
      <c r="X28" s="316">
        <f t="shared" si="4"/>
        <v>0</v>
      </c>
      <c r="Y28" s="316">
        <f t="shared" si="4"/>
        <v>0</v>
      </c>
      <c r="Z28" s="316">
        <f t="shared" si="5"/>
        <v>0</v>
      </c>
      <c r="AA28" s="316">
        <f t="shared" si="5"/>
        <v>0</v>
      </c>
      <c r="AB28" s="316">
        <f t="shared" si="5"/>
        <v>0</v>
      </c>
      <c r="AC28" s="316">
        <f t="shared" si="5"/>
        <v>0</v>
      </c>
      <c r="AD28" s="316">
        <f t="shared" si="5"/>
        <v>0</v>
      </c>
      <c r="AE28" s="316">
        <f t="shared" si="5"/>
        <v>0</v>
      </c>
      <c r="AF28" s="316">
        <f t="shared" si="5"/>
        <v>0</v>
      </c>
      <c r="AG28" s="316">
        <f t="shared" si="5"/>
        <v>0</v>
      </c>
      <c r="AH28" s="316">
        <f t="shared" si="5"/>
        <v>0</v>
      </c>
      <c r="AI28" s="316">
        <f t="shared" si="5"/>
        <v>0</v>
      </c>
      <c r="AJ28" s="316">
        <f t="shared" si="6"/>
        <v>0</v>
      </c>
      <c r="AK28" s="316">
        <f t="shared" si="6"/>
        <v>0</v>
      </c>
      <c r="AL28" s="316">
        <f t="shared" si="6"/>
        <v>0</v>
      </c>
      <c r="AM28" s="316">
        <f t="shared" si="6"/>
        <v>0</v>
      </c>
      <c r="AN28" s="316">
        <f t="shared" si="6"/>
        <v>0</v>
      </c>
      <c r="AO28" s="316">
        <f t="shared" si="6"/>
        <v>0</v>
      </c>
      <c r="AP28" s="316">
        <f t="shared" si="6"/>
        <v>0</v>
      </c>
      <c r="AQ28" s="316">
        <f t="shared" si="6"/>
        <v>0</v>
      </c>
    </row>
    <row r="29" spans="1:44" ht="13.35" customHeight="1">
      <c r="B29" s="321" t="str">
        <f>'Existing Loans + Loan Pipeline'!$B19</f>
        <v>Tru Livin' Farms</v>
      </c>
      <c r="C29" s="143">
        <f>'Existing Loans + Loan Pipeline'!E19</f>
        <v>27126</v>
      </c>
      <c r="D29" s="312">
        <f>'Existing Loans + Loan Pipeline'!C19</f>
        <v>43536</v>
      </c>
      <c r="E29" s="323">
        <f t="shared" si="7"/>
        <v>5</v>
      </c>
      <c r="F29" s="316">
        <f t="shared" ref="F29:O34" si="8">IF($D29=F$5,$C29,0)</f>
        <v>0</v>
      </c>
      <c r="G29" s="316">
        <f t="shared" si="8"/>
        <v>0</v>
      </c>
      <c r="H29" s="316">
        <f t="shared" si="8"/>
        <v>0</v>
      </c>
      <c r="I29" s="316">
        <f t="shared" si="8"/>
        <v>0</v>
      </c>
      <c r="J29" s="316">
        <f t="shared" si="8"/>
        <v>0</v>
      </c>
      <c r="K29" s="316">
        <f t="shared" si="8"/>
        <v>0</v>
      </c>
      <c r="L29" s="316">
        <f t="shared" si="8"/>
        <v>0</v>
      </c>
      <c r="M29" s="316">
        <f t="shared" si="8"/>
        <v>0</v>
      </c>
      <c r="N29" s="316">
        <f t="shared" si="8"/>
        <v>0</v>
      </c>
      <c r="O29" s="316">
        <f t="shared" si="8"/>
        <v>0</v>
      </c>
      <c r="P29" s="316">
        <f t="shared" ref="P29:Y34" si="9">IF($D29=P$5,$C29,0)</f>
        <v>0</v>
      </c>
      <c r="Q29" s="316">
        <f t="shared" si="9"/>
        <v>0</v>
      </c>
      <c r="R29" s="316">
        <f t="shared" si="9"/>
        <v>0</v>
      </c>
      <c r="S29" s="316">
        <f t="shared" si="9"/>
        <v>0</v>
      </c>
      <c r="T29" s="316">
        <f t="shared" si="9"/>
        <v>0</v>
      </c>
      <c r="U29" s="316">
        <f t="shared" si="9"/>
        <v>0</v>
      </c>
      <c r="V29" s="316">
        <f t="shared" si="9"/>
        <v>0</v>
      </c>
      <c r="W29" s="316">
        <f t="shared" si="9"/>
        <v>0</v>
      </c>
      <c r="X29" s="316">
        <f t="shared" si="9"/>
        <v>0</v>
      </c>
      <c r="Y29" s="316">
        <f t="shared" si="9"/>
        <v>0</v>
      </c>
      <c r="Z29" s="316">
        <f t="shared" ref="Z29:AI34" si="10">IF($D29=Z$5,$C29,0)</f>
        <v>0</v>
      </c>
      <c r="AA29" s="316">
        <f t="shared" si="10"/>
        <v>0</v>
      </c>
      <c r="AB29" s="316">
        <f t="shared" si="10"/>
        <v>0</v>
      </c>
      <c r="AC29" s="316">
        <f t="shared" si="10"/>
        <v>0</v>
      </c>
      <c r="AD29" s="316">
        <f t="shared" si="10"/>
        <v>0</v>
      </c>
      <c r="AE29" s="316">
        <f t="shared" si="10"/>
        <v>0</v>
      </c>
      <c r="AF29" s="316">
        <f t="shared" si="10"/>
        <v>0</v>
      </c>
      <c r="AG29" s="316">
        <f t="shared" si="10"/>
        <v>0</v>
      </c>
      <c r="AH29" s="316">
        <f t="shared" si="10"/>
        <v>0</v>
      </c>
      <c r="AI29" s="316">
        <f t="shared" si="10"/>
        <v>0</v>
      </c>
      <c r="AJ29" s="316">
        <f t="shared" ref="AJ29:AQ34" si="11">IF($D29=AJ$5,$C29,0)</f>
        <v>0</v>
      </c>
      <c r="AK29" s="316">
        <f t="shared" si="11"/>
        <v>0</v>
      </c>
      <c r="AL29" s="316">
        <f t="shared" si="11"/>
        <v>0</v>
      </c>
      <c r="AM29" s="316">
        <f t="shared" si="11"/>
        <v>0</v>
      </c>
      <c r="AN29" s="316">
        <f t="shared" si="11"/>
        <v>0</v>
      </c>
      <c r="AO29" s="316">
        <f t="shared" si="11"/>
        <v>0</v>
      </c>
      <c r="AP29" s="316">
        <f t="shared" si="11"/>
        <v>0</v>
      </c>
      <c r="AQ29" s="316">
        <f t="shared" si="11"/>
        <v>0</v>
      </c>
    </row>
    <row r="30" spans="1:44" ht="13.35" customHeight="1">
      <c r="B30" s="321" t="str">
        <f>'Existing Loans + Loan Pipeline'!$B20</f>
        <v>Red Rooster Farms</v>
      </c>
      <c r="C30" s="143">
        <f>'Existing Loans + Loan Pipeline'!E20</f>
        <v>10988</v>
      </c>
      <c r="D30" s="312">
        <f>'Existing Loans + Loan Pipeline'!C20</f>
        <v>43537</v>
      </c>
      <c r="E30" s="323">
        <f t="shared" si="7"/>
        <v>5</v>
      </c>
      <c r="F30" s="316">
        <f t="shared" si="8"/>
        <v>0</v>
      </c>
      <c r="G30" s="316">
        <f t="shared" si="8"/>
        <v>0</v>
      </c>
      <c r="H30" s="316">
        <f t="shared" si="8"/>
        <v>0</v>
      </c>
      <c r="I30" s="316">
        <f t="shared" si="8"/>
        <v>0</v>
      </c>
      <c r="J30" s="316">
        <f t="shared" si="8"/>
        <v>0</v>
      </c>
      <c r="K30" s="316">
        <f t="shared" si="8"/>
        <v>0</v>
      </c>
      <c r="L30" s="316">
        <f t="shared" si="8"/>
        <v>0</v>
      </c>
      <c r="M30" s="316">
        <f t="shared" si="8"/>
        <v>0</v>
      </c>
      <c r="N30" s="316">
        <f t="shared" si="8"/>
        <v>0</v>
      </c>
      <c r="O30" s="316">
        <f t="shared" si="8"/>
        <v>0</v>
      </c>
      <c r="P30" s="316">
        <f t="shared" si="9"/>
        <v>0</v>
      </c>
      <c r="Q30" s="316">
        <f t="shared" si="9"/>
        <v>0</v>
      </c>
      <c r="R30" s="316">
        <f t="shared" si="9"/>
        <v>0</v>
      </c>
      <c r="S30" s="316">
        <f t="shared" si="9"/>
        <v>0</v>
      </c>
      <c r="T30" s="316">
        <f t="shared" si="9"/>
        <v>0</v>
      </c>
      <c r="U30" s="316">
        <f t="shared" si="9"/>
        <v>0</v>
      </c>
      <c r="V30" s="316">
        <f t="shared" si="9"/>
        <v>0</v>
      </c>
      <c r="W30" s="316">
        <f t="shared" si="9"/>
        <v>0</v>
      </c>
      <c r="X30" s="316">
        <f t="shared" si="9"/>
        <v>0</v>
      </c>
      <c r="Y30" s="316">
        <f t="shared" si="9"/>
        <v>0</v>
      </c>
      <c r="Z30" s="316">
        <f t="shared" si="10"/>
        <v>0</v>
      </c>
      <c r="AA30" s="316">
        <f t="shared" si="10"/>
        <v>0</v>
      </c>
      <c r="AB30" s="316">
        <f t="shared" si="10"/>
        <v>0</v>
      </c>
      <c r="AC30" s="316">
        <f t="shared" si="10"/>
        <v>0</v>
      </c>
      <c r="AD30" s="316">
        <f t="shared" si="10"/>
        <v>0</v>
      </c>
      <c r="AE30" s="316">
        <f t="shared" si="10"/>
        <v>0</v>
      </c>
      <c r="AF30" s="316">
        <f t="shared" si="10"/>
        <v>0</v>
      </c>
      <c r="AG30" s="316">
        <f t="shared" si="10"/>
        <v>0</v>
      </c>
      <c r="AH30" s="316">
        <f t="shared" si="10"/>
        <v>0</v>
      </c>
      <c r="AI30" s="316">
        <f t="shared" si="10"/>
        <v>0</v>
      </c>
      <c r="AJ30" s="316">
        <f t="shared" si="11"/>
        <v>0</v>
      </c>
      <c r="AK30" s="316">
        <f t="shared" si="11"/>
        <v>0</v>
      </c>
      <c r="AL30" s="316">
        <f t="shared" si="11"/>
        <v>0</v>
      </c>
      <c r="AM30" s="316">
        <f t="shared" si="11"/>
        <v>0</v>
      </c>
      <c r="AN30" s="316">
        <f t="shared" si="11"/>
        <v>0</v>
      </c>
      <c r="AO30" s="316">
        <f t="shared" si="11"/>
        <v>0</v>
      </c>
      <c r="AP30" s="316">
        <f t="shared" si="11"/>
        <v>0</v>
      </c>
      <c r="AQ30" s="316">
        <f t="shared" si="11"/>
        <v>0</v>
      </c>
    </row>
    <row r="31" spans="1:44" ht="13.35" customHeight="1">
      <c r="B31" s="321" t="str">
        <f>'Existing Loans + Loan Pipeline'!$B21</f>
        <v>Avrom Farms</v>
      </c>
      <c r="C31" s="143">
        <f>'Existing Loans + Loan Pipeline'!E21</f>
        <v>32874</v>
      </c>
      <c r="D31" s="312">
        <f>'Existing Loans + Loan Pipeline'!C21</f>
        <v>43537</v>
      </c>
      <c r="E31" s="323">
        <f t="shared" si="7"/>
        <v>5</v>
      </c>
      <c r="F31" s="316">
        <f t="shared" si="8"/>
        <v>0</v>
      </c>
      <c r="G31" s="316">
        <f t="shared" si="8"/>
        <v>0</v>
      </c>
      <c r="H31" s="316">
        <f t="shared" si="8"/>
        <v>0</v>
      </c>
      <c r="I31" s="316">
        <f t="shared" si="8"/>
        <v>0</v>
      </c>
      <c r="J31" s="316">
        <f t="shared" si="8"/>
        <v>0</v>
      </c>
      <c r="K31" s="316">
        <f t="shared" si="8"/>
        <v>0</v>
      </c>
      <c r="L31" s="316">
        <f t="shared" si="8"/>
        <v>0</v>
      </c>
      <c r="M31" s="316">
        <f t="shared" si="8"/>
        <v>0</v>
      </c>
      <c r="N31" s="316">
        <f t="shared" si="8"/>
        <v>0</v>
      </c>
      <c r="O31" s="316">
        <f t="shared" si="8"/>
        <v>0</v>
      </c>
      <c r="P31" s="316">
        <f t="shared" si="9"/>
        <v>0</v>
      </c>
      <c r="Q31" s="316">
        <f t="shared" si="9"/>
        <v>0</v>
      </c>
      <c r="R31" s="316">
        <f t="shared" si="9"/>
        <v>0</v>
      </c>
      <c r="S31" s="316">
        <f t="shared" si="9"/>
        <v>0</v>
      </c>
      <c r="T31" s="316">
        <f t="shared" si="9"/>
        <v>0</v>
      </c>
      <c r="U31" s="316">
        <f t="shared" si="9"/>
        <v>0</v>
      </c>
      <c r="V31" s="316">
        <f t="shared" si="9"/>
        <v>0</v>
      </c>
      <c r="W31" s="316">
        <f t="shared" si="9"/>
        <v>0</v>
      </c>
      <c r="X31" s="316">
        <f t="shared" si="9"/>
        <v>0</v>
      </c>
      <c r="Y31" s="316">
        <f t="shared" si="9"/>
        <v>0</v>
      </c>
      <c r="Z31" s="316">
        <f t="shared" si="10"/>
        <v>0</v>
      </c>
      <c r="AA31" s="316">
        <f t="shared" si="10"/>
        <v>0</v>
      </c>
      <c r="AB31" s="316">
        <f t="shared" si="10"/>
        <v>0</v>
      </c>
      <c r="AC31" s="316">
        <f t="shared" si="10"/>
        <v>0</v>
      </c>
      <c r="AD31" s="316">
        <f t="shared" si="10"/>
        <v>0</v>
      </c>
      <c r="AE31" s="316">
        <f t="shared" si="10"/>
        <v>0</v>
      </c>
      <c r="AF31" s="316">
        <f t="shared" si="10"/>
        <v>0</v>
      </c>
      <c r="AG31" s="316">
        <f t="shared" si="10"/>
        <v>0</v>
      </c>
      <c r="AH31" s="316">
        <f t="shared" si="10"/>
        <v>0</v>
      </c>
      <c r="AI31" s="316">
        <f t="shared" si="10"/>
        <v>0</v>
      </c>
      <c r="AJ31" s="316">
        <f t="shared" si="11"/>
        <v>0</v>
      </c>
      <c r="AK31" s="316">
        <f t="shared" si="11"/>
        <v>0</v>
      </c>
      <c r="AL31" s="316">
        <f t="shared" si="11"/>
        <v>0</v>
      </c>
      <c r="AM31" s="316">
        <f t="shared" si="11"/>
        <v>0</v>
      </c>
      <c r="AN31" s="316">
        <f t="shared" si="11"/>
        <v>0</v>
      </c>
      <c r="AO31" s="316">
        <f t="shared" si="11"/>
        <v>0</v>
      </c>
      <c r="AP31" s="316">
        <f t="shared" si="11"/>
        <v>0</v>
      </c>
      <c r="AQ31" s="316">
        <f t="shared" si="11"/>
        <v>0</v>
      </c>
    </row>
    <row r="32" spans="1:44" ht="13.35" customHeight="1">
      <c r="B32" s="321" t="str">
        <f>'Existing Loans + Loan Pipeline'!$B22</f>
        <v>Clear Creek Family Farm</v>
      </c>
      <c r="C32" s="143">
        <f>'Existing Loans + Loan Pipeline'!E22</f>
        <v>21717</v>
      </c>
      <c r="D32" s="312">
        <f>'Existing Loans + Loan Pipeline'!C22</f>
        <v>43544</v>
      </c>
      <c r="E32" s="323">
        <f t="shared" si="7"/>
        <v>5</v>
      </c>
      <c r="F32" s="316">
        <f t="shared" si="8"/>
        <v>0</v>
      </c>
      <c r="G32" s="316">
        <f t="shared" si="8"/>
        <v>0</v>
      </c>
      <c r="H32" s="316">
        <f t="shared" si="8"/>
        <v>0</v>
      </c>
      <c r="I32" s="316">
        <f t="shared" si="8"/>
        <v>0</v>
      </c>
      <c r="J32" s="316">
        <f t="shared" si="8"/>
        <v>0</v>
      </c>
      <c r="K32" s="316">
        <f t="shared" si="8"/>
        <v>0</v>
      </c>
      <c r="L32" s="316">
        <f t="shared" si="8"/>
        <v>0</v>
      </c>
      <c r="M32" s="316">
        <f t="shared" si="8"/>
        <v>0</v>
      </c>
      <c r="N32" s="316">
        <f t="shared" si="8"/>
        <v>0</v>
      </c>
      <c r="O32" s="316">
        <f t="shared" si="8"/>
        <v>0</v>
      </c>
      <c r="P32" s="316">
        <f t="shared" si="9"/>
        <v>0</v>
      </c>
      <c r="Q32" s="316">
        <f t="shared" si="9"/>
        <v>0</v>
      </c>
      <c r="R32" s="316">
        <f t="shared" si="9"/>
        <v>0</v>
      </c>
      <c r="S32" s="316">
        <f t="shared" si="9"/>
        <v>0</v>
      </c>
      <c r="T32" s="316">
        <f t="shared" si="9"/>
        <v>0</v>
      </c>
      <c r="U32" s="316">
        <f t="shared" si="9"/>
        <v>0</v>
      </c>
      <c r="V32" s="316">
        <f t="shared" si="9"/>
        <v>0</v>
      </c>
      <c r="W32" s="316">
        <f t="shared" si="9"/>
        <v>0</v>
      </c>
      <c r="X32" s="316">
        <f t="shared" si="9"/>
        <v>0</v>
      </c>
      <c r="Y32" s="316">
        <f t="shared" si="9"/>
        <v>0</v>
      </c>
      <c r="Z32" s="316">
        <f t="shared" si="10"/>
        <v>0</v>
      </c>
      <c r="AA32" s="316">
        <f t="shared" si="10"/>
        <v>0</v>
      </c>
      <c r="AB32" s="316">
        <f t="shared" si="10"/>
        <v>0</v>
      </c>
      <c r="AC32" s="316">
        <f t="shared" si="10"/>
        <v>0</v>
      </c>
      <c r="AD32" s="316">
        <f t="shared" si="10"/>
        <v>0</v>
      </c>
      <c r="AE32" s="316">
        <f t="shared" si="10"/>
        <v>0</v>
      </c>
      <c r="AF32" s="316">
        <f t="shared" si="10"/>
        <v>0</v>
      </c>
      <c r="AG32" s="316">
        <f t="shared" si="10"/>
        <v>0</v>
      </c>
      <c r="AH32" s="316">
        <f t="shared" si="10"/>
        <v>0</v>
      </c>
      <c r="AI32" s="316">
        <f t="shared" si="10"/>
        <v>0</v>
      </c>
      <c r="AJ32" s="316">
        <f t="shared" si="11"/>
        <v>0</v>
      </c>
      <c r="AK32" s="316">
        <f t="shared" si="11"/>
        <v>0</v>
      </c>
      <c r="AL32" s="316">
        <f t="shared" si="11"/>
        <v>0</v>
      </c>
      <c r="AM32" s="316">
        <f t="shared" si="11"/>
        <v>0</v>
      </c>
      <c r="AN32" s="316">
        <f t="shared" si="11"/>
        <v>0</v>
      </c>
      <c r="AO32" s="316">
        <f t="shared" si="11"/>
        <v>0</v>
      </c>
      <c r="AP32" s="316">
        <f t="shared" si="11"/>
        <v>0</v>
      </c>
      <c r="AQ32" s="316">
        <f t="shared" si="11"/>
        <v>0</v>
      </c>
    </row>
    <row r="33" spans="1:44" ht="13.35" customHeight="1">
      <c r="B33" s="321" t="str">
        <f>'Existing Loans + Loan Pipeline'!$B23</f>
        <v>Kubed Root</v>
      </c>
      <c r="C33" s="143">
        <f>'Existing Loans + Loan Pipeline'!E23</f>
        <v>5526</v>
      </c>
      <c r="D33" s="312">
        <f>'Existing Loans + Loan Pipeline'!C23</f>
        <v>43571</v>
      </c>
      <c r="E33" s="323">
        <f t="shared" si="7"/>
        <v>5</v>
      </c>
      <c r="F33" s="316">
        <f t="shared" si="8"/>
        <v>0</v>
      </c>
      <c r="G33" s="316">
        <f t="shared" si="8"/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316">
        <f t="shared" si="8"/>
        <v>0</v>
      </c>
      <c r="O33" s="316">
        <f t="shared" si="8"/>
        <v>0</v>
      </c>
      <c r="P33" s="316">
        <f t="shared" si="9"/>
        <v>0</v>
      </c>
      <c r="Q33" s="316">
        <f t="shared" si="9"/>
        <v>0</v>
      </c>
      <c r="R33" s="316">
        <f t="shared" si="9"/>
        <v>0</v>
      </c>
      <c r="S33" s="316">
        <f t="shared" si="9"/>
        <v>0</v>
      </c>
      <c r="T33" s="316">
        <f t="shared" si="9"/>
        <v>0</v>
      </c>
      <c r="U33" s="316">
        <f t="shared" si="9"/>
        <v>0</v>
      </c>
      <c r="V33" s="316">
        <f t="shared" si="9"/>
        <v>0</v>
      </c>
      <c r="W33" s="316">
        <f t="shared" si="9"/>
        <v>0</v>
      </c>
      <c r="X33" s="316">
        <f t="shared" si="9"/>
        <v>0</v>
      </c>
      <c r="Y33" s="316">
        <f t="shared" si="9"/>
        <v>0</v>
      </c>
      <c r="Z33" s="316">
        <f t="shared" si="10"/>
        <v>0</v>
      </c>
      <c r="AA33" s="316">
        <f t="shared" si="10"/>
        <v>0</v>
      </c>
      <c r="AB33" s="316">
        <f t="shared" si="10"/>
        <v>0</v>
      </c>
      <c r="AC33" s="316">
        <f t="shared" si="10"/>
        <v>0</v>
      </c>
      <c r="AD33" s="316">
        <f t="shared" si="10"/>
        <v>0</v>
      </c>
      <c r="AE33" s="316">
        <f t="shared" si="10"/>
        <v>0</v>
      </c>
      <c r="AF33" s="316">
        <f t="shared" si="10"/>
        <v>0</v>
      </c>
      <c r="AG33" s="316">
        <f t="shared" si="10"/>
        <v>0</v>
      </c>
      <c r="AH33" s="316">
        <f t="shared" si="10"/>
        <v>0</v>
      </c>
      <c r="AI33" s="316">
        <f t="shared" si="10"/>
        <v>0</v>
      </c>
      <c r="AJ33" s="316">
        <f t="shared" si="11"/>
        <v>0</v>
      </c>
      <c r="AK33" s="316">
        <f t="shared" si="11"/>
        <v>0</v>
      </c>
      <c r="AL33" s="316">
        <f t="shared" si="11"/>
        <v>0</v>
      </c>
      <c r="AM33" s="316">
        <f t="shared" si="11"/>
        <v>0</v>
      </c>
      <c r="AN33" s="316">
        <f t="shared" si="11"/>
        <v>0</v>
      </c>
      <c r="AO33" s="316">
        <f t="shared" si="11"/>
        <v>0</v>
      </c>
      <c r="AP33" s="316">
        <f t="shared" si="11"/>
        <v>0</v>
      </c>
      <c r="AQ33" s="316">
        <f t="shared" si="11"/>
        <v>0</v>
      </c>
    </row>
    <row r="34" spans="1:44" ht="13.35" customHeight="1">
      <c r="B34" s="321" t="str">
        <f>'Existing Loans + Loan Pipeline'!$B24</f>
        <v>Sierra Valley Farm</v>
      </c>
      <c r="C34" s="143">
        <f>'Existing Loans + Loan Pipeline'!E24</f>
        <v>0</v>
      </c>
      <c r="D34" s="312">
        <f>'Existing Loans + Loan Pipeline'!C24</f>
        <v>43656</v>
      </c>
      <c r="E34" s="323">
        <f t="shared" si="7"/>
        <v>5</v>
      </c>
      <c r="F34" s="316">
        <f t="shared" si="8"/>
        <v>0</v>
      </c>
      <c r="G34" s="316">
        <f t="shared" si="8"/>
        <v>0</v>
      </c>
      <c r="H34" s="316">
        <f t="shared" si="8"/>
        <v>0</v>
      </c>
      <c r="I34" s="316">
        <f t="shared" si="8"/>
        <v>0</v>
      </c>
      <c r="J34" s="316">
        <f t="shared" si="8"/>
        <v>0</v>
      </c>
      <c r="K34" s="316">
        <f t="shared" si="8"/>
        <v>0</v>
      </c>
      <c r="L34" s="316">
        <f t="shared" si="8"/>
        <v>0</v>
      </c>
      <c r="M34" s="316">
        <f t="shared" si="8"/>
        <v>0</v>
      </c>
      <c r="N34" s="316">
        <f t="shared" si="8"/>
        <v>0</v>
      </c>
      <c r="O34" s="316">
        <f t="shared" si="8"/>
        <v>0</v>
      </c>
      <c r="P34" s="316">
        <f t="shared" si="9"/>
        <v>0</v>
      </c>
      <c r="Q34" s="316">
        <f t="shared" si="9"/>
        <v>0</v>
      </c>
      <c r="R34" s="316">
        <f t="shared" si="9"/>
        <v>0</v>
      </c>
      <c r="S34" s="316">
        <f t="shared" si="9"/>
        <v>0</v>
      </c>
      <c r="T34" s="316">
        <f t="shared" si="9"/>
        <v>0</v>
      </c>
      <c r="U34" s="316">
        <f t="shared" si="9"/>
        <v>0</v>
      </c>
      <c r="V34" s="316">
        <f t="shared" si="9"/>
        <v>0</v>
      </c>
      <c r="W34" s="316">
        <f t="shared" si="9"/>
        <v>0</v>
      </c>
      <c r="X34" s="316">
        <f t="shared" si="9"/>
        <v>0</v>
      </c>
      <c r="Y34" s="316">
        <f t="shared" si="9"/>
        <v>0</v>
      </c>
      <c r="Z34" s="316">
        <f t="shared" si="10"/>
        <v>0</v>
      </c>
      <c r="AA34" s="316">
        <f t="shared" si="10"/>
        <v>0</v>
      </c>
      <c r="AB34" s="316">
        <f t="shared" si="10"/>
        <v>0</v>
      </c>
      <c r="AC34" s="316">
        <f t="shared" si="10"/>
        <v>0</v>
      </c>
      <c r="AD34" s="316">
        <f t="shared" si="10"/>
        <v>0</v>
      </c>
      <c r="AE34" s="316">
        <f t="shared" si="10"/>
        <v>0</v>
      </c>
      <c r="AF34" s="316">
        <f t="shared" si="10"/>
        <v>0</v>
      </c>
      <c r="AG34" s="316">
        <f t="shared" si="10"/>
        <v>0</v>
      </c>
      <c r="AH34" s="316">
        <f t="shared" si="10"/>
        <v>0</v>
      </c>
      <c r="AI34" s="316">
        <f t="shared" si="10"/>
        <v>0</v>
      </c>
      <c r="AJ34" s="316">
        <f t="shared" si="11"/>
        <v>0</v>
      </c>
      <c r="AK34" s="316">
        <f t="shared" si="11"/>
        <v>0</v>
      </c>
      <c r="AL34" s="316">
        <f t="shared" si="11"/>
        <v>0</v>
      </c>
      <c r="AM34" s="316">
        <f t="shared" si="11"/>
        <v>0</v>
      </c>
      <c r="AN34" s="316">
        <f t="shared" si="11"/>
        <v>0</v>
      </c>
      <c r="AO34" s="316">
        <f t="shared" si="11"/>
        <v>0</v>
      </c>
      <c r="AP34" s="316">
        <f t="shared" si="11"/>
        <v>0</v>
      </c>
      <c r="AQ34" s="316">
        <f t="shared" si="11"/>
        <v>0</v>
      </c>
    </row>
    <row r="35" spans="1:44" ht="13.35" customHeight="1">
      <c r="A35" s="124" t="s">
        <v>47</v>
      </c>
      <c r="B35" s="310" t="str">
        <f>'Existing Loans + Loan Pipeline'!$B26</f>
        <v>2020 New Loans to Existing Farms</v>
      </c>
      <c r="C35" s="307" t="str">
        <f>C18</f>
        <v>Loan Size</v>
      </c>
      <c r="D35" s="307" t="str">
        <f>D18</f>
        <v>Close Date</v>
      </c>
      <c r="E35" s="307" t="str">
        <f>E18</f>
        <v>Term (Years)</v>
      </c>
      <c r="F35" s="308"/>
      <c r="G35" s="309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11"/>
      <c r="AR35" s="5" t="s">
        <v>47</v>
      </c>
    </row>
    <row r="36" spans="1:44" ht="13.35" customHeight="1">
      <c r="B36" s="321" t="str">
        <f>'Existing Loans + Loan Pipeline'!$B27</f>
        <v>ACRE Detroit</v>
      </c>
      <c r="C36" s="143">
        <f>'Existing Loans + Loan Pipeline'!E27</f>
        <v>0</v>
      </c>
      <c r="D36" s="312">
        <f>'Existing Loans + Loan Pipeline'!C27</f>
        <v>43921</v>
      </c>
      <c r="E36" s="323">
        <f t="shared" si="7"/>
        <v>5</v>
      </c>
      <c r="F36" s="316">
        <f t="shared" ref="F36:O54" si="12">IF($D36=F$5,$C36,0)</f>
        <v>0</v>
      </c>
      <c r="G36" s="316">
        <f t="shared" si="12"/>
        <v>0</v>
      </c>
      <c r="H36" s="316">
        <f t="shared" si="12"/>
        <v>0</v>
      </c>
      <c r="I36" s="316">
        <f t="shared" si="12"/>
        <v>0</v>
      </c>
      <c r="J36" s="316">
        <f t="shared" si="12"/>
        <v>0</v>
      </c>
      <c r="K36" s="316">
        <f t="shared" si="12"/>
        <v>0</v>
      </c>
      <c r="L36" s="316">
        <f t="shared" si="12"/>
        <v>0</v>
      </c>
      <c r="M36" s="316">
        <f t="shared" si="12"/>
        <v>0</v>
      </c>
      <c r="N36" s="316">
        <f t="shared" si="12"/>
        <v>0</v>
      </c>
      <c r="O36" s="316">
        <f t="shared" si="12"/>
        <v>0</v>
      </c>
      <c r="P36" s="316">
        <f t="shared" ref="P36:Y54" si="13">IF($D36=P$5,$C36,0)</f>
        <v>0</v>
      </c>
      <c r="Q36" s="316">
        <f t="shared" si="13"/>
        <v>0</v>
      </c>
      <c r="R36" s="316">
        <f t="shared" si="13"/>
        <v>0</v>
      </c>
      <c r="S36" s="316">
        <f t="shared" si="13"/>
        <v>0</v>
      </c>
      <c r="T36" s="316">
        <f t="shared" si="13"/>
        <v>0</v>
      </c>
      <c r="U36" s="316">
        <f t="shared" si="13"/>
        <v>0</v>
      </c>
      <c r="V36" s="316">
        <f t="shared" si="13"/>
        <v>0</v>
      </c>
      <c r="W36" s="316">
        <f t="shared" si="13"/>
        <v>0</v>
      </c>
      <c r="X36" s="316">
        <f t="shared" si="13"/>
        <v>0</v>
      </c>
      <c r="Y36" s="316">
        <f t="shared" si="13"/>
        <v>0</v>
      </c>
      <c r="Z36" s="316">
        <f t="shared" ref="Z36:AI54" si="14">IF($D36=Z$5,$C36,0)</f>
        <v>0</v>
      </c>
      <c r="AA36" s="316">
        <f t="shared" si="14"/>
        <v>0</v>
      </c>
      <c r="AB36" s="316">
        <f t="shared" si="14"/>
        <v>0</v>
      </c>
      <c r="AC36" s="316">
        <f t="shared" si="14"/>
        <v>0</v>
      </c>
      <c r="AD36" s="316">
        <f t="shared" si="14"/>
        <v>0</v>
      </c>
      <c r="AE36" s="316">
        <f t="shared" si="14"/>
        <v>0</v>
      </c>
      <c r="AF36" s="316">
        <f t="shared" si="14"/>
        <v>0</v>
      </c>
      <c r="AG36" s="316">
        <f t="shared" si="14"/>
        <v>0</v>
      </c>
      <c r="AH36" s="316">
        <f t="shared" si="14"/>
        <v>0</v>
      </c>
      <c r="AI36" s="316">
        <f t="shared" si="14"/>
        <v>0</v>
      </c>
      <c r="AJ36" s="316">
        <f t="shared" ref="AJ36:AQ54" si="15">IF($D36=AJ$5,$C36,0)</f>
        <v>0</v>
      </c>
      <c r="AK36" s="316">
        <f t="shared" si="15"/>
        <v>0</v>
      </c>
      <c r="AL36" s="316">
        <f t="shared" si="15"/>
        <v>0</v>
      </c>
      <c r="AM36" s="316">
        <f t="shared" si="15"/>
        <v>0</v>
      </c>
      <c r="AN36" s="316">
        <f t="shared" si="15"/>
        <v>0</v>
      </c>
      <c r="AO36" s="316">
        <f t="shared" si="15"/>
        <v>0</v>
      </c>
      <c r="AP36" s="316">
        <f t="shared" si="15"/>
        <v>0</v>
      </c>
      <c r="AQ36" s="316">
        <f t="shared" si="15"/>
        <v>0</v>
      </c>
    </row>
    <row r="37" spans="1:44" ht="13.35" customHeight="1">
      <c r="B37" s="321" t="str">
        <f>'Existing Loans + Loan Pipeline'!$B28</f>
        <v>Fisheye Farms</v>
      </c>
      <c r="C37" s="143">
        <f>'Existing Loans + Loan Pipeline'!E28</f>
        <v>300000</v>
      </c>
      <c r="D37" s="312">
        <f>'Existing Loans + Loan Pipeline'!C28</f>
        <v>44012</v>
      </c>
      <c r="E37" s="323">
        <f t="shared" si="7"/>
        <v>5</v>
      </c>
      <c r="F37" s="316">
        <f t="shared" si="12"/>
        <v>0</v>
      </c>
      <c r="G37" s="316">
        <f t="shared" si="12"/>
        <v>0</v>
      </c>
      <c r="H37" s="316">
        <f t="shared" si="12"/>
        <v>0</v>
      </c>
      <c r="I37" s="316">
        <f t="shared" si="12"/>
        <v>0</v>
      </c>
      <c r="J37" s="316">
        <f t="shared" si="12"/>
        <v>0</v>
      </c>
      <c r="K37" s="316">
        <f t="shared" si="12"/>
        <v>300000</v>
      </c>
      <c r="L37" s="316">
        <f t="shared" si="12"/>
        <v>0</v>
      </c>
      <c r="M37" s="316">
        <f t="shared" si="12"/>
        <v>0</v>
      </c>
      <c r="N37" s="316">
        <f t="shared" si="12"/>
        <v>0</v>
      </c>
      <c r="O37" s="316">
        <f t="shared" si="12"/>
        <v>0</v>
      </c>
      <c r="P37" s="316">
        <f t="shared" si="13"/>
        <v>0</v>
      </c>
      <c r="Q37" s="316">
        <f t="shared" si="13"/>
        <v>0</v>
      </c>
      <c r="R37" s="316">
        <f t="shared" si="13"/>
        <v>0</v>
      </c>
      <c r="S37" s="316">
        <f t="shared" si="13"/>
        <v>0</v>
      </c>
      <c r="T37" s="316">
        <f t="shared" si="13"/>
        <v>0</v>
      </c>
      <c r="U37" s="316">
        <f t="shared" si="13"/>
        <v>0</v>
      </c>
      <c r="V37" s="316">
        <f t="shared" si="13"/>
        <v>0</v>
      </c>
      <c r="W37" s="316">
        <f t="shared" si="13"/>
        <v>0</v>
      </c>
      <c r="X37" s="316">
        <f t="shared" si="13"/>
        <v>0</v>
      </c>
      <c r="Y37" s="316">
        <f t="shared" si="13"/>
        <v>0</v>
      </c>
      <c r="Z37" s="316">
        <f t="shared" si="14"/>
        <v>0</v>
      </c>
      <c r="AA37" s="316">
        <f t="shared" si="14"/>
        <v>0</v>
      </c>
      <c r="AB37" s="316">
        <f t="shared" si="14"/>
        <v>0</v>
      </c>
      <c r="AC37" s="316">
        <f t="shared" si="14"/>
        <v>0</v>
      </c>
      <c r="AD37" s="316">
        <f t="shared" si="14"/>
        <v>0</v>
      </c>
      <c r="AE37" s="316">
        <f t="shared" si="14"/>
        <v>0</v>
      </c>
      <c r="AF37" s="316">
        <f t="shared" si="14"/>
        <v>0</v>
      </c>
      <c r="AG37" s="316">
        <f t="shared" si="14"/>
        <v>0</v>
      </c>
      <c r="AH37" s="316">
        <f t="shared" si="14"/>
        <v>0</v>
      </c>
      <c r="AI37" s="316">
        <f t="shared" si="14"/>
        <v>0</v>
      </c>
      <c r="AJ37" s="316">
        <f t="shared" si="15"/>
        <v>0</v>
      </c>
      <c r="AK37" s="316">
        <f t="shared" si="15"/>
        <v>0</v>
      </c>
      <c r="AL37" s="316">
        <f t="shared" si="15"/>
        <v>0</v>
      </c>
      <c r="AM37" s="316">
        <f t="shared" si="15"/>
        <v>0</v>
      </c>
      <c r="AN37" s="316">
        <f t="shared" si="15"/>
        <v>0</v>
      </c>
      <c r="AO37" s="316">
        <f t="shared" si="15"/>
        <v>0</v>
      </c>
      <c r="AP37" s="316">
        <f t="shared" si="15"/>
        <v>0</v>
      </c>
      <c r="AQ37" s="316">
        <f t="shared" si="15"/>
        <v>0</v>
      </c>
    </row>
    <row r="38" spans="1:44" s="144" customFormat="1" ht="13.35" customHeight="1">
      <c r="A38" s="124"/>
      <c r="B38" s="321" t="str">
        <f>'Existing Loans + Loan Pipeline'!$B29</f>
        <v>Beiler’s Heritage Acres</v>
      </c>
      <c r="C38" s="143">
        <f>'Existing Loans + Loan Pipeline'!E29</f>
        <v>500000</v>
      </c>
      <c r="D38" s="312">
        <f>'Existing Loans + Loan Pipeline'!C29</f>
        <v>44043</v>
      </c>
      <c r="E38" s="323">
        <f t="shared" si="7"/>
        <v>5</v>
      </c>
      <c r="F38" s="316">
        <f t="shared" si="12"/>
        <v>0</v>
      </c>
      <c r="G38" s="316">
        <f t="shared" si="12"/>
        <v>0</v>
      </c>
      <c r="H38" s="316">
        <f t="shared" si="12"/>
        <v>0</v>
      </c>
      <c r="I38" s="316">
        <f t="shared" si="12"/>
        <v>0</v>
      </c>
      <c r="J38" s="316">
        <f t="shared" si="12"/>
        <v>0</v>
      </c>
      <c r="K38" s="316">
        <f t="shared" si="12"/>
        <v>0</v>
      </c>
      <c r="L38" s="316">
        <f t="shared" si="12"/>
        <v>500000</v>
      </c>
      <c r="M38" s="316">
        <f t="shared" si="12"/>
        <v>0</v>
      </c>
      <c r="N38" s="316">
        <f t="shared" si="12"/>
        <v>0</v>
      </c>
      <c r="O38" s="316">
        <f t="shared" si="12"/>
        <v>0</v>
      </c>
      <c r="P38" s="316">
        <f t="shared" si="13"/>
        <v>0</v>
      </c>
      <c r="Q38" s="316">
        <f t="shared" si="13"/>
        <v>0</v>
      </c>
      <c r="R38" s="316">
        <f t="shared" si="13"/>
        <v>0</v>
      </c>
      <c r="S38" s="316">
        <f t="shared" si="13"/>
        <v>0</v>
      </c>
      <c r="T38" s="316">
        <f t="shared" si="13"/>
        <v>0</v>
      </c>
      <c r="U38" s="316">
        <f t="shared" si="13"/>
        <v>0</v>
      </c>
      <c r="V38" s="316">
        <f t="shared" si="13"/>
        <v>0</v>
      </c>
      <c r="W38" s="316">
        <f t="shared" si="13"/>
        <v>0</v>
      </c>
      <c r="X38" s="316">
        <f t="shared" si="13"/>
        <v>0</v>
      </c>
      <c r="Y38" s="316">
        <f t="shared" si="13"/>
        <v>0</v>
      </c>
      <c r="Z38" s="316">
        <f t="shared" si="14"/>
        <v>0</v>
      </c>
      <c r="AA38" s="316">
        <f t="shared" si="14"/>
        <v>0</v>
      </c>
      <c r="AB38" s="316">
        <f t="shared" si="14"/>
        <v>0</v>
      </c>
      <c r="AC38" s="316">
        <f t="shared" si="14"/>
        <v>0</v>
      </c>
      <c r="AD38" s="316">
        <f t="shared" si="14"/>
        <v>0</v>
      </c>
      <c r="AE38" s="316">
        <f t="shared" si="14"/>
        <v>0</v>
      </c>
      <c r="AF38" s="316">
        <f t="shared" si="14"/>
        <v>0</v>
      </c>
      <c r="AG38" s="316">
        <f t="shared" si="14"/>
        <v>0</v>
      </c>
      <c r="AH38" s="316">
        <f t="shared" si="14"/>
        <v>0</v>
      </c>
      <c r="AI38" s="316">
        <f t="shared" si="14"/>
        <v>0</v>
      </c>
      <c r="AJ38" s="316">
        <f t="shared" si="15"/>
        <v>0</v>
      </c>
      <c r="AK38" s="316">
        <f t="shared" si="15"/>
        <v>0</v>
      </c>
      <c r="AL38" s="316">
        <f t="shared" si="15"/>
        <v>0</v>
      </c>
      <c r="AM38" s="316">
        <f t="shared" si="15"/>
        <v>0</v>
      </c>
      <c r="AN38" s="316">
        <f t="shared" si="15"/>
        <v>0</v>
      </c>
      <c r="AO38" s="316">
        <f t="shared" si="15"/>
        <v>0</v>
      </c>
      <c r="AP38" s="316">
        <f t="shared" si="15"/>
        <v>0</v>
      </c>
      <c r="AQ38" s="316">
        <f t="shared" si="15"/>
        <v>0</v>
      </c>
    </row>
    <row r="39" spans="1:44" s="144" customFormat="1" ht="13.35" customHeight="1">
      <c r="A39" s="124"/>
      <c r="B39" s="321" t="str">
        <f>'Existing Loans + Loan Pipeline'!$B30</f>
        <v>Eastfork Cultivars / Hope Mountain</v>
      </c>
      <c r="C39" s="143">
        <f>'Existing Loans + Loan Pipeline'!E30</f>
        <v>1000000</v>
      </c>
      <c r="D39" s="312">
        <f>'Existing Loans + Loan Pipeline'!C30</f>
        <v>44043</v>
      </c>
      <c r="E39" s="323">
        <f t="shared" si="7"/>
        <v>5</v>
      </c>
      <c r="F39" s="316">
        <f t="shared" si="12"/>
        <v>0</v>
      </c>
      <c r="G39" s="316">
        <f t="shared" si="12"/>
        <v>0</v>
      </c>
      <c r="H39" s="316">
        <f t="shared" si="12"/>
        <v>0</v>
      </c>
      <c r="I39" s="316">
        <f t="shared" si="12"/>
        <v>0</v>
      </c>
      <c r="J39" s="316">
        <f t="shared" si="12"/>
        <v>0</v>
      </c>
      <c r="K39" s="316">
        <f t="shared" si="12"/>
        <v>0</v>
      </c>
      <c r="L39" s="316">
        <f t="shared" si="12"/>
        <v>1000000</v>
      </c>
      <c r="M39" s="316">
        <f t="shared" si="12"/>
        <v>0</v>
      </c>
      <c r="N39" s="316">
        <f t="shared" si="12"/>
        <v>0</v>
      </c>
      <c r="O39" s="316">
        <f t="shared" si="12"/>
        <v>0</v>
      </c>
      <c r="P39" s="316">
        <f t="shared" si="13"/>
        <v>0</v>
      </c>
      <c r="Q39" s="316">
        <f t="shared" si="13"/>
        <v>0</v>
      </c>
      <c r="R39" s="316">
        <f t="shared" si="13"/>
        <v>0</v>
      </c>
      <c r="S39" s="316">
        <f t="shared" si="13"/>
        <v>0</v>
      </c>
      <c r="T39" s="316">
        <f t="shared" si="13"/>
        <v>0</v>
      </c>
      <c r="U39" s="316">
        <f t="shared" si="13"/>
        <v>0</v>
      </c>
      <c r="V39" s="316">
        <f t="shared" si="13"/>
        <v>0</v>
      </c>
      <c r="W39" s="316">
        <f t="shared" si="13"/>
        <v>0</v>
      </c>
      <c r="X39" s="316">
        <f t="shared" si="13"/>
        <v>0</v>
      </c>
      <c r="Y39" s="316">
        <f t="shared" si="13"/>
        <v>0</v>
      </c>
      <c r="Z39" s="316">
        <f t="shared" si="14"/>
        <v>0</v>
      </c>
      <c r="AA39" s="316">
        <f t="shared" si="14"/>
        <v>0</v>
      </c>
      <c r="AB39" s="316">
        <f t="shared" si="14"/>
        <v>0</v>
      </c>
      <c r="AC39" s="316">
        <f t="shared" si="14"/>
        <v>0</v>
      </c>
      <c r="AD39" s="316">
        <f t="shared" si="14"/>
        <v>0</v>
      </c>
      <c r="AE39" s="316">
        <f t="shared" si="14"/>
        <v>0</v>
      </c>
      <c r="AF39" s="316">
        <f t="shared" si="14"/>
        <v>0</v>
      </c>
      <c r="AG39" s="316">
        <f t="shared" si="14"/>
        <v>0</v>
      </c>
      <c r="AH39" s="316">
        <f t="shared" si="14"/>
        <v>0</v>
      </c>
      <c r="AI39" s="316">
        <f t="shared" si="14"/>
        <v>0</v>
      </c>
      <c r="AJ39" s="316">
        <f t="shared" si="15"/>
        <v>0</v>
      </c>
      <c r="AK39" s="316">
        <f t="shared" si="15"/>
        <v>0</v>
      </c>
      <c r="AL39" s="316">
        <f t="shared" si="15"/>
        <v>0</v>
      </c>
      <c r="AM39" s="316">
        <f t="shared" si="15"/>
        <v>0</v>
      </c>
      <c r="AN39" s="316">
        <f t="shared" si="15"/>
        <v>0</v>
      </c>
      <c r="AO39" s="316">
        <f t="shared" si="15"/>
        <v>0</v>
      </c>
      <c r="AP39" s="316">
        <f t="shared" si="15"/>
        <v>0</v>
      </c>
      <c r="AQ39" s="316">
        <f t="shared" si="15"/>
        <v>0</v>
      </c>
    </row>
    <row r="40" spans="1:44" s="144" customFormat="1" ht="13.35" customHeight="1">
      <c r="A40" s="124"/>
      <c r="B40" s="321" t="str">
        <f>'Existing Loans + Loan Pipeline'!$B31</f>
        <v>Domaine Julien Guillon</v>
      </c>
      <c r="C40" s="143">
        <f>'Existing Loans + Loan Pipeline'!E31</f>
        <v>500000</v>
      </c>
      <c r="D40" s="312">
        <f>'Existing Loans + Loan Pipeline'!C31</f>
        <v>44074</v>
      </c>
      <c r="E40" s="323">
        <f t="shared" si="7"/>
        <v>5</v>
      </c>
      <c r="F40" s="316">
        <f t="shared" si="12"/>
        <v>0</v>
      </c>
      <c r="G40" s="316">
        <f t="shared" si="12"/>
        <v>0</v>
      </c>
      <c r="H40" s="316">
        <f t="shared" si="12"/>
        <v>0</v>
      </c>
      <c r="I40" s="316">
        <f t="shared" si="12"/>
        <v>0</v>
      </c>
      <c r="J40" s="316">
        <f t="shared" si="12"/>
        <v>0</v>
      </c>
      <c r="K40" s="316">
        <f t="shared" si="12"/>
        <v>0</v>
      </c>
      <c r="L40" s="316">
        <f t="shared" si="12"/>
        <v>0</v>
      </c>
      <c r="M40" s="316">
        <f t="shared" si="12"/>
        <v>500000</v>
      </c>
      <c r="N40" s="316">
        <f t="shared" si="12"/>
        <v>0</v>
      </c>
      <c r="O40" s="316">
        <f t="shared" si="12"/>
        <v>0</v>
      </c>
      <c r="P40" s="316">
        <f t="shared" si="13"/>
        <v>0</v>
      </c>
      <c r="Q40" s="316">
        <f t="shared" si="13"/>
        <v>0</v>
      </c>
      <c r="R40" s="316">
        <f t="shared" si="13"/>
        <v>0</v>
      </c>
      <c r="S40" s="316">
        <f t="shared" si="13"/>
        <v>0</v>
      </c>
      <c r="T40" s="316">
        <f t="shared" si="13"/>
        <v>0</v>
      </c>
      <c r="U40" s="316">
        <f t="shared" si="13"/>
        <v>0</v>
      </c>
      <c r="V40" s="316">
        <f t="shared" si="13"/>
        <v>0</v>
      </c>
      <c r="W40" s="316">
        <f t="shared" si="13"/>
        <v>0</v>
      </c>
      <c r="X40" s="316">
        <f t="shared" si="13"/>
        <v>0</v>
      </c>
      <c r="Y40" s="316">
        <f t="shared" si="13"/>
        <v>0</v>
      </c>
      <c r="Z40" s="316">
        <f t="shared" si="14"/>
        <v>0</v>
      </c>
      <c r="AA40" s="316">
        <f t="shared" si="14"/>
        <v>0</v>
      </c>
      <c r="AB40" s="316">
        <f t="shared" si="14"/>
        <v>0</v>
      </c>
      <c r="AC40" s="316">
        <f t="shared" si="14"/>
        <v>0</v>
      </c>
      <c r="AD40" s="316">
        <f t="shared" si="14"/>
        <v>0</v>
      </c>
      <c r="AE40" s="316">
        <f t="shared" si="14"/>
        <v>0</v>
      </c>
      <c r="AF40" s="316">
        <f t="shared" si="14"/>
        <v>0</v>
      </c>
      <c r="AG40" s="316">
        <f t="shared" si="14"/>
        <v>0</v>
      </c>
      <c r="AH40" s="316">
        <f t="shared" si="14"/>
        <v>0</v>
      </c>
      <c r="AI40" s="316">
        <f t="shared" si="14"/>
        <v>0</v>
      </c>
      <c r="AJ40" s="316">
        <f t="shared" si="15"/>
        <v>0</v>
      </c>
      <c r="AK40" s="316">
        <f t="shared" si="15"/>
        <v>0</v>
      </c>
      <c r="AL40" s="316">
        <f t="shared" si="15"/>
        <v>0</v>
      </c>
      <c r="AM40" s="316">
        <f t="shared" si="15"/>
        <v>0</v>
      </c>
      <c r="AN40" s="316">
        <f t="shared" si="15"/>
        <v>0</v>
      </c>
      <c r="AO40" s="316">
        <f t="shared" si="15"/>
        <v>0</v>
      </c>
      <c r="AP40" s="316">
        <f t="shared" si="15"/>
        <v>0</v>
      </c>
      <c r="AQ40" s="316">
        <f t="shared" si="15"/>
        <v>0</v>
      </c>
    </row>
    <row r="41" spans="1:44" s="144" customFormat="1" ht="13.35" customHeight="1">
      <c r="A41" s="124"/>
      <c r="B41" s="321" t="str">
        <f>'Existing Loans + Loan Pipeline'!$B32</f>
        <v xml:space="preserve">Iverstine Family Farm </v>
      </c>
      <c r="C41" s="143">
        <f>'Existing Loans + Loan Pipeline'!E32</f>
        <v>750000</v>
      </c>
      <c r="D41" s="312">
        <f>'Existing Loans + Loan Pipeline'!C32</f>
        <v>44074</v>
      </c>
      <c r="E41" s="323">
        <f t="shared" si="7"/>
        <v>5</v>
      </c>
      <c r="F41" s="316">
        <f t="shared" si="12"/>
        <v>0</v>
      </c>
      <c r="G41" s="316">
        <f t="shared" si="12"/>
        <v>0</v>
      </c>
      <c r="H41" s="316">
        <f t="shared" si="12"/>
        <v>0</v>
      </c>
      <c r="I41" s="316">
        <f t="shared" si="12"/>
        <v>0</v>
      </c>
      <c r="J41" s="316">
        <f t="shared" si="12"/>
        <v>0</v>
      </c>
      <c r="K41" s="316">
        <f t="shared" si="12"/>
        <v>0</v>
      </c>
      <c r="L41" s="316">
        <f t="shared" si="12"/>
        <v>0</v>
      </c>
      <c r="M41" s="316">
        <f t="shared" si="12"/>
        <v>750000</v>
      </c>
      <c r="N41" s="316">
        <f t="shared" si="12"/>
        <v>0</v>
      </c>
      <c r="O41" s="316">
        <f t="shared" si="12"/>
        <v>0</v>
      </c>
      <c r="P41" s="316">
        <f t="shared" si="13"/>
        <v>0</v>
      </c>
      <c r="Q41" s="316">
        <f t="shared" si="13"/>
        <v>0</v>
      </c>
      <c r="R41" s="316">
        <f t="shared" si="13"/>
        <v>0</v>
      </c>
      <c r="S41" s="316">
        <f t="shared" si="13"/>
        <v>0</v>
      </c>
      <c r="T41" s="316">
        <f t="shared" si="13"/>
        <v>0</v>
      </c>
      <c r="U41" s="316">
        <f t="shared" si="13"/>
        <v>0</v>
      </c>
      <c r="V41" s="316">
        <f t="shared" si="13"/>
        <v>0</v>
      </c>
      <c r="W41" s="316">
        <f t="shared" si="13"/>
        <v>0</v>
      </c>
      <c r="X41" s="316">
        <f t="shared" si="13"/>
        <v>0</v>
      </c>
      <c r="Y41" s="316">
        <f t="shared" si="13"/>
        <v>0</v>
      </c>
      <c r="Z41" s="316">
        <f t="shared" si="14"/>
        <v>0</v>
      </c>
      <c r="AA41" s="316">
        <f t="shared" si="14"/>
        <v>0</v>
      </c>
      <c r="AB41" s="316">
        <f t="shared" si="14"/>
        <v>0</v>
      </c>
      <c r="AC41" s="316">
        <f t="shared" si="14"/>
        <v>0</v>
      </c>
      <c r="AD41" s="316">
        <f t="shared" si="14"/>
        <v>0</v>
      </c>
      <c r="AE41" s="316">
        <f t="shared" si="14"/>
        <v>0</v>
      </c>
      <c r="AF41" s="316">
        <f t="shared" si="14"/>
        <v>0</v>
      </c>
      <c r="AG41" s="316">
        <f t="shared" si="14"/>
        <v>0</v>
      </c>
      <c r="AH41" s="316">
        <f t="shared" si="14"/>
        <v>0</v>
      </c>
      <c r="AI41" s="316">
        <f t="shared" si="14"/>
        <v>0</v>
      </c>
      <c r="AJ41" s="316">
        <f t="shared" si="15"/>
        <v>0</v>
      </c>
      <c r="AK41" s="316">
        <f t="shared" si="15"/>
        <v>0</v>
      </c>
      <c r="AL41" s="316">
        <f t="shared" si="15"/>
        <v>0</v>
      </c>
      <c r="AM41" s="316">
        <f t="shared" si="15"/>
        <v>0</v>
      </c>
      <c r="AN41" s="316">
        <f t="shared" si="15"/>
        <v>0</v>
      </c>
      <c r="AO41" s="316">
        <f t="shared" si="15"/>
        <v>0</v>
      </c>
      <c r="AP41" s="316">
        <f t="shared" si="15"/>
        <v>0</v>
      </c>
      <c r="AQ41" s="316">
        <f t="shared" si="15"/>
        <v>0</v>
      </c>
    </row>
    <row r="42" spans="1:44" s="144" customFormat="1" ht="13.35" customHeight="1">
      <c r="A42" s="124"/>
      <c r="B42" s="321" t="str">
        <f>'Existing Loans + Loan Pipeline'!$B33</f>
        <v xml:space="preserve">Dusty Roads Farm </v>
      </c>
      <c r="C42" s="143">
        <f>'Existing Loans + Loan Pipeline'!E33</f>
        <v>100000</v>
      </c>
      <c r="D42" s="312">
        <f>'Existing Loans + Loan Pipeline'!C33</f>
        <v>44074</v>
      </c>
      <c r="E42" s="323">
        <f t="shared" si="7"/>
        <v>5</v>
      </c>
      <c r="F42" s="316">
        <f t="shared" si="12"/>
        <v>0</v>
      </c>
      <c r="G42" s="316">
        <f t="shared" si="12"/>
        <v>0</v>
      </c>
      <c r="H42" s="316">
        <f t="shared" si="12"/>
        <v>0</v>
      </c>
      <c r="I42" s="316">
        <f t="shared" si="12"/>
        <v>0</v>
      </c>
      <c r="J42" s="316">
        <f t="shared" si="12"/>
        <v>0</v>
      </c>
      <c r="K42" s="316">
        <f t="shared" si="12"/>
        <v>0</v>
      </c>
      <c r="L42" s="316">
        <f t="shared" si="12"/>
        <v>0</v>
      </c>
      <c r="M42" s="316">
        <f t="shared" si="12"/>
        <v>100000</v>
      </c>
      <c r="N42" s="316">
        <f t="shared" si="12"/>
        <v>0</v>
      </c>
      <c r="O42" s="316">
        <f t="shared" si="12"/>
        <v>0</v>
      </c>
      <c r="P42" s="316">
        <f t="shared" si="13"/>
        <v>0</v>
      </c>
      <c r="Q42" s="316">
        <f t="shared" si="13"/>
        <v>0</v>
      </c>
      <c r="R42" s="316">
        <f t="shared" si="13"/>
        <v>0</v>
      </c>
      <c r="S42" s="316">
        <f t="shared" si="13"/>
        <v>0</v>
      </c>
      <c r="T42" s="316">
        <f t="shared" si="13"/>
        <v>0</v>
      </c>
      <c r="U42" s="316">
        <f t="shared" si="13"/>
        <v>0</v>
      </c>
      <c r="V42" s="316">
        <f t="shared" si="13"/>
        <v>0</v>
      </c>
      <c r="W42" s="316">
        <f t="shared" si="13"/>
        <v>0</v>
      </c>
      <c r="X42" s="316">
        <f t="shared" si="13"/>
        <v>0</v>
      </c>
      <c r="Y42" s="316">
        <f t="shared" si="13"/>
        <v>0</v>
      </c>
      <c r="Z42" s="316">
        <f t="shared" si="14"/>
        <v>0</v>
      </c>
      <c r="AA42" s="316">
        <f t="shared" si="14"/>
        <v>0</v>
      </c>
      <c r="AB42" s="316">
        <f t="shared" si="14"/>
        <v>0</v>
      </c>
      <c r="AC42" s="316">
        <f t="shared" si="14"/>
        <v>0</v>
      </c>
      <c r="AD42" s="316">
        <f t="shared" si="14"/>
        <v>0</v>
      </c>
      <c r="AE42" s="316">
        <f t="shared" si="14"/>
        <v>0</v>
      </c>
      <c r="AF42" s="316">
        <f t="shared" si="14"/>
        <v>0</v>
      </c>
      <c r="AG42" s="316">
        <f t="shared" si="14"/>
        <v>0</v>
      </c>
      <c r="AH42" s="316">
        <f t="shared" si="14"/>
        <v>0</v>
      </c>
      <c r="AI42" s="316">
        <f t="shared" si="14"/>
        <v>0</v>
      </c>
      <c r="AJ42" s="316">
        <f t="shared" si="15"/>
        <v>0</v>
      </c>
      <c r="AK42" s="316">
        <f t="shared" si="15"/>
        <v>0</v>
      </c>
      <c r="AL42" s="316">
        <f t="shared" si="15"/>
        <v>0</v>
      </c>
      <c r="AM42" s="316">
        <f t="shared" si="15"/>
        <v>0</v>
      </c>
      <c r="AN42" s="316">
        <f t="shared" si="15"/>
        <v>0</v>
      </c>
      <c r="AO42" s="316">
        <f t="shared" si="15"/>
        <v>0</v>
      </c>
      <c r="AP42" s="316">
        <f t="shared" si="15"/>
        <v>0</v>
      </c>
      <c r="AQ42" s="316">
        <f t="shared" si="15"/>
        <v>0</v>
      </c>
    </row>
    <row r="43" spans="1:44" s="144" customFormat="1" ht="13.35" customHeight="1">
      <c r="A43" s="124"/>
      <c r="B43" s="321" t="str">
        <f>'Existing Loans + Loan Pipeline'!$B34</f>
        <v>ShangriLa Farms / Stewardship Sustainable Farm</v>
      </c>
      <c r="C43" s="143">
        <f>'Existing Loans + Loan Pipeline'!E34</f>
        <v>2000000</v>
      </c>
      <c r="D43" s="312">
        <f>'Existing Loans + Loan Pipeline'!C34</f>
        <v>44104</v>
      </c>
      <c r="E43" s="323">
        <f t="shared" si="7"/>
        <v>5</v>
      </c>
      <c r="F43" s="316">
        <f t="shared" si="12"/>
        <v>0</v>
      </c>
      <c r="G43" s="316">
        <f t="shared" si="12"/>
        <v>0</v>
      </c>
      <c r="H43" s="316">
        <f t="shared" si="12"/>
        <v>0</v>
      </c>
      <c r="I43" s="316">
        <f t="shared" si="12"/>
        <v>0</v>
      </c>
      <c r="J43" s="316">
        <f t="shared" si="12"/>
        <v>0</v>
      </c>
      <c r="K43" s="316">
        <f t="shared" si="12"/>
        <v>0</v>
      </c>
      <c r="L43" s="316">
        <f t="shared" si="12"/>
        <v>0</v>
      </c>
      <c r="M43" s="316">
        <f t="shared" si="12"/>
        <v>0</v>
      </c>
      <c r="N43" s="316">
        <f t="shared" si="12"/>
        <v>2000000</v>
      </c>
      <c r="O43" s="316">
        <f t="shared" si="12"/>
        <v>0</v>
      </c>
      <c r="P43" s="316">
        <f t="shared" si="13"/>
        <v>0</v>
      </c>
      <c r="Q43" s="316">
        <f t="shared" si="13"/>
        <v>0</v>
      </c>
      <c r="R43" s="316">
        <f t="shared" si="13"/>
        <v>0</v>
      </c>
      <c r="S43" s="316">
        <f t="shared" si="13"/>
        <v>0</v>
      </c>
      <c r="T43" s="316">
        <f t="shared" si="13"/>
        <v>0</v>
      </c>
      <c r="U43" s="316">
        <f t="shared" si="13"/>
        <v>0</v>
      </c>
      <c r="V43" s="316">
        <f t="shared" si="13"/>
        <v>0</v>
      </c>
      <c r="W43" s="316">
        <f t="shared" si="13"/>
        <v>0</v>
      </c>
      <c r="X43" s="316">
        <f t="shared" si="13"/>
        <v>0</v>
      </c>
      <c r="Y43" s="316">
        <f t="shared" si="13"/>
        <v>0</v>
      </c>
      <c r="Z43" s="316">
        <f t="shared" si="14"/>
        <v>0</v>
      </c>
      <c r="AA43" s="316">
        <f t="shared" si="14"/>
        <v>0</v>
      </c>
      <c r="AB43" s="316">
        <f t="shared" si="14"/>
        <v>0</v>
      </c>
      <c r="AC43" s="316">
        <f t="shared" si="14"/>
        <v>0</v>
      </c>
      <c r="AD43" s="316">
        <f t="shared" si="14"/>
        <v>0</v>
      </c>
      <c r="AE43" s="316">
        <f t="shared" si="14"/>
        <v>0</v>
      </c>
      <c r="AF43" s="316">
        <f t="shared" si="14"/>
        <v>0</v>
      </c>
      <c r="AG43" s="316">
        <f t="shared" si="14"/>
        <v>0</v>
      </c>
      <c r="AH43" s="316">
        <f t="shared" si="14"/>
        <v>0</v>
      </c>
      <c r="AI43" s="316">
        <f t="shared" si="14"/>
        <v>0</v>
      </c>
      <c r="AJ43" s="316">
        <f t="shared" si="15"/>
        <v>0</v>
      </c>
      <c r="AK43" s="316">
        <f t="shared" si="15"/>
        <v>0</v>
      </c>
      <c r="AL43" s="316">
        <f t="shared" si="15"/>
        <v>0</v>
      </c>
      <c r="AM43" s="316">
        <f t="shared" si="15"/>
        <v>0</v>
      </c>
      <c r="AN43" s="316">
        <f t="shared" si="15"/>
        <v>0</v>
      </c>
      <c r="AO43" s="316">
        <f t="shared" si="15"/>
        <v>0</v>
      </c>
      <c r="AP43" s="316">
        <f t="shared" si="15"/>
        <v>0</v>
      </c>
      <c r="AQ43" s="316">
        <f t="shared" si="15"/>
        <v>0</v>
      </c>
    </row>
    <row r="44" spans="1:44" s="144" customFormat="1" ht="13.35" customHeight="1">
      <c r="A44" s="124"/>
      <c r="B44" s="321" t="str">
        <f>'Existing Loans + Loan Pipeline'!$B35</f>
        <v>Naked Acres</v>
      </c>
      <c r="C44" s="143">
        <f>'Existing Loans + Loan Pipeline'!E35</f>
        <v>500000</v>
      </c>
      <c r="D44" s="312">
        <f>'Existing Loans + Loan Pipeline'!C35</f>
        <v>44104</v>
      </c>
      <c r="E44" s="323">
        <f t="shared" si="7"/>
        <v>5</v>
      </c>
      <c r="F44" s="316">
        <f t="shared" si="12"/>
        <v>0</v>
      </c>
      <c r="G44" s="316">
        <f t="shared" si="12"/>
        <v>0</v>
      </c>
      <c r="H44" s="316">
        <f t="shared" si="12"/>
        <v>0</v>
      </c>
      <c r="I44" s="316">
        <f t="shared" si="12"/>
        <v>0</v>
      </c>
      <c r="J44" s="316">
        <f t="shared" si="12"/>
        <v>0</v>
      </c>
      <c r="K44" s="316">
        <f t="shared" si="12"/>
        <v>0</v>
      </c>
      <c r="L44" s="316">
        <f t="shared" si="12"/>
        <v>0</v>
      </c>
      <c r="M44" s="316">
        <f t="shared" si="12"/>
        <v>0</v>
      </c>
      <c r="N44" s="316">
        <f t="shared" si="12"/>
        <v>500000</v>
      </c>
      <c r="O44" s="316">
        <f t="shared" si="12"/>
        <v>0</v>
      </c>
      <c r="P44" s="316">
        <f t="shared" si="13"/>
        <v>0</v>
      </c>
      <c r="Q44" s="316">
        <f t="shared" si="13"/>
        <v>0</v>
      </c>
      <c r="R44" s="316">
        <f t="shared" si="13"/>
        <v>0</v>
      </c>
      <c r="S44" s="316">
        <f t="shared" si="13"/>
        <v>0</v>
      </c>
      <c r="T44" s="316">
        <f t="shared" si="13"/>
        <v>0</v>
      </c>
      <c r="U44" s="316">
        <f t="shared" si="13"/>
        <v>0</v>
      </c>
      <c r="V44" s="316">
        <f t="shared" si="13"/>
        <v>0</v>
      </c>
      <c r="W44" s="316">
        <f t="shared" si="13"/>
        <v>0</v>
      </c>
      <c r="X44" s="316">
        <f t="shared" si="13"/>
        <v>0</v>
      </c>
      <c r="Y44" s="316">
        <f t="shared" si="13"/>
        <v>0</v>
      </c>
      <c r="Z44" s="316">
        <f t="shared" si="14"/>
        <v>0</v>
      </c>
      <c r="AA44" s="316">
        <f t="shared" si="14"/>
        <v>0</v>
      </c>
      <c r="AB44" s="316">
        <f t="shared" si="14"/>
        <v>0</v>
      </c>
      <c r="AC44" s="316">
        <f t="shared" si="14"/>
        <v>0</v>
      </c>
      <c r="AD44" s="316">
        <f t="shared" si="14"/>
        <v>0</v>
      </c>
      <c r="AE44" s="316">
        <f t="shared" si="14"/>
        <v>0</v>
      </c>
      <c r="AF44" s="316">
        <f t="shared" si="14"/>
        <v>0</v>
      </c>
      <c r="AG44" s="316">
        <f t="shared" si="14"/>
        <v>0</v>
      </c>
      <c r="AH44" s="316">
        <f t="shared" si="14"/>
        <v>0</v>
      </c>
      <c r="AI44" s="316">
        <f t="shared" si="14"/>
        <v>0</v>
      </c>
      <c r="AJ44" s="316">
        <f t="shared" si="15"/>
        <v>0</v>
      </c>
      <c r="AK44" s="316">
        <f t="shared" si="15"/>
        <v>0</v>
      </c>
      <c r="AL44" s="316">
        <f t="shared" si="15"/>
        <v>0</v>
      </c>
      <c r="AM44" s="316">
        <f t="shared" si="15"/>
        <v>0</v>
      </c>
      <c r="AN44" s="316">
        <f t="shared" si="15"/>
        <v>0</v>
      </c>
      <c r="AO44" s="316">
        <f t="shared" si="15"/>
        <v>0</v>
      </c>
      <c r="AP44" s="316">
        <f t="shared" si="15"/>
        <v>0</v>
      </c>
      <c r="AQ44" s="316">
        <f t="shared" si="15"/>
        <v>0</v>
      </c>
    </row>
    <row r="45" spans="1:44" s="144" customFormat="1" ht="13.35" customHeight="1">
      <c r="A45" s="124"/>
      <c r="B45" s="321" t="str">
        <f>'Existing Loans + Loan Pipeline'!$B36</f>
        <v>Fleischer Family Farm</v>
      </c>
      <c r="C45" s="143">
        <f>'Existing Loans + Loan Pipeline'!E36</f>
        <v>200000</v>
      </c>
      <c r="D45" s="312">
        <f>'Existing Loans + Loan Pipeline'!C36</f>
        <v>44104</v>
      </c>
      <c r="E45" s="323">
        <f t="shared" si="7"/>
        <v>5</v>
      </c>
      <c r="F45" s="316">
        <f t="shared" si="12"/>
        <v>0</v>
      </c>
      <c r="G45" s="316">
        <f t="shared" si="12"/>
        <v>0</v>
      </c>
      <c r="H45" s="316">
        <f t="shared" si="12"/>
        <v>0</v>
      </c>
      <c r="I45" s="316">
        <f t="shared" si="12"/>
        <v>0</v>
      </c>
      <c r="J45" s="316">
        <f t="shared" si="12"/>
        <v>0</v>
      </c>
      <c r="K45" s="316">
        <f t="shared" si="12"/>
        <v>0</v>
      </c>
      <c r="L45" s="316">
        <f t="shared" si="12"/>
        <v>0</v>
      </c>
      <c r="M45" s="316">
        <f t="shared" si="12"/>
        <v>0</v>
      </c>
      <c r="N45" s="316">
        <f t="shared" si="12"/>
        <v>200000</v>
      </c>
      <c r="O45" s="316">
        <f t="shared" si="12"/>
        <v>0</v>
      </c>
      <c r="P45" s="316">
        <f t="shared" si="13"/>
        <v>0</v>
      </c>
      <c r="Q45" s="316">
        <f t="shared" si="13"/>
        <v>0</v>
      </c>
      <c r="R45" s="316">
        <f t="shared" si="13"/>
        <v>0</v>
      </c>
      <c r="S45" s="316">
        <f t="shared" si="13"/>
        <v>0</v>
      </c>
      <c r="T45" s="316">
        <f t="shared" si="13"/>
        <v>0</v>
      </c>
      <c r="U45" s="316">
        <f t="shared" si="13"/>
        <v>0</v>
      </c>
      <c r="V45" s="316">
        <f t="shared" si="13"/>
        <v>0</v>
      </c>
      <c r="W45" s="316">
        <f t="shared" si="13"/>
        <v>0</v>
      </c>
      <c r="X45" s="316">
        <f t="shared" si="13"/>
        <v>0</v>
      </c>
      <c r="Y45" s="316">
        <f t="shared" si="13"/>
        <v>0</v>
      </c>
      <c r="Z45" s="316">
        <f t="shared" si="14"/>
        <v>0</v>
      </c>
      <c r="AA45" s="316">
        <f t="shared" si="14"/>
        <v>0</v>
      </c>
      <c r="AB45" s="316">
        <f t="shared" si="14"/>
        <v>0</v>
      </c>
      <c r="AC45" s="316">
        <f t="shared" si="14"/>
        <v>0</v>
      </c>
      <c r="AD45" s="316">
        <f t="shared" si="14"/>
        <v>0</v>
      </c>
      <c r="AE45" s="316">
        <f t="shared" si="14"/>
        <v>0</v>
      </c>
      <c r="AF45" s="316">
        <f t="shared" si="14"/>
        <v>0</v>
      </c>
      <c r="AG45" s="316">
        <f t="shared" si="14"/>
        <v>0</v>
      </c>
      <c r="AH45" s="316">
        <f t="shared" si="14"/>
        <v>0</v>
      </c>
      <c r="AI45" s="316">
        <f t="shared" si="14"/>
        <v>0</v>
      </c>
      <c r="AJ45" s="316">
        <f t="shared" si="15"/>
        <v>0</v>
      </c>
      <c r="AK45" s="316">
        <f t="shared" si="15"/>
        <v>0</v>
      </c>
      <c r="AL45" s="316">
        <f t="shared" si="15"/>
        <v>0</v>
      </c>
      <c r="AM45" s="316">
        <f t="shared" si="15"/>
        <v>0</v>
      </c>
      <c r="AN45" s="316">
        <f t="shared" si="15"/>
        <v>0</v>
      </c>
      <c r="AO45" s="316">
        <f t="shared" si="15"/>
        <v>0</v>
      </c>
      <c r="AP45" s="316">
        <f t="shared" si="15"/>
        <v>0</v>
      </c>
      <c r="AQ45" s="316">
        <f t="shared" si="15"/>
        <v>0</v>
      </c>
    </row>
    <row r="46" spans="1:44" s="144" customFormat="1" ht="13.35" customHeight="1">
      <c r="A46" s="124"/>
      <c r="B46" s="321" t="str">
        <f>'Existing Loans + Loan Pipeline'!$B37</f>
        <v>Tru Livin' Farms</v>
      </c>
      <c r="C46" s="143">
        <f>'Existing Loans + Loan Pipeline'!E37</f>
        <v>200000</v>
      </c>
      <c r="D46" s="312">
        <f>'Existing Loans + Loan Pipeline'!C37</f>
        <v>44135</v>
      </c>
      <c r="E46" s="323">
        <f t="shared" si="7"/>
        <v>5</v>
      </c>
      <c r="F46" s="316">
        <f t="shared" si="12"/>
        <v>0</v>
      </c>
      <c r="G46" s="316">
        <f t="shared" si="12"/>
        <v>0</v>
      </c>
      <c r="H46" s="316">
        <f t="shared" si="12"/>
        <v>0</v>
      </c>
      <c r="I46" s="316">
        <f t="shared" si="12"/>
        <v>0</v>
      </c>
      <c r="J46" s="316">
        <f t="shared" si="12"/>
        <v>0</v>
      </c>
      <c r="K46" s="316">
        <f t="shared" si="12"/>
        <v>0</v>
      </c>
      <c r="L46" s="316">
        <f t="shared" si="12"/>
        <v>0</v>
      </c>
      <c r="M46" s="316">
        <f t="shared" si="12"/>
        <v>0</v>
      </c>
      <c r="N46" s="316">
        <f t="shared" si="12"/>
        <v>0</v>
      </c>
      <c r="O46" s="316">
        <f t="shared" si="12"/>
        <v>200000</v>
      </c>
      <c r="P46" s="316">
        <f t="shared" si="13"/>
        <v>0</v>
      </c>
      <c r="Q46" s="316">
        <f t="shared" si="13"/>
        <v>0</v>
      </c>
      <c r="R46" s="316">
        <f t="shared" si="13"/>
        <v>0</v>
      </c>
      <c r="S46" s="316">
        <f t="shared" si="13"/>
        <v>0</v>
      </c>
      <c r="T46" s="316">
        <f t="shared" si="13"/>
        <v>0</v>
      </c>
      <c r="U46" s="316">
        <f t="shared" si="13"/>
        <v>0</v>
      </c>
      <c r="V46" s="316">
        <f t="shared" si="13"/>
        <v>0</v>
      </c>
      <c r="W46" s="316">
        <f t="shared" si="13"/>
        <v>0</v>
      </c>
      <c r="X46" s="316">
        <f t="shared" si="13"/>
        <v>0</v>
      </c>
      <c r="Y46" s="316">
        <f t="shared" si="13"/>
        <v>0</v>
      </c>
      <c r="Z46" s="316">
        <f t="shared" si="14"/>
        <v>0</v>
      </c>
      <c r="AA46" s="316">
        <f t="shared" si="14"/>
        <v>0</v>
      </c>
      <c r="AB46" s="316">
        <f t="shared" si="14"/>
        <v>0</v>
      </c>
      <c r="AC46" s="316">
        <f t="shared" si="14"/>
        <v>0</v>
      </c>
      <c r="AD46" s="316">
        <f t="shared" si="14"/>
        <v>0</v>
      </c>
      <c r="AE46" s="316">
        <f t="shared" si="14"/>
        <v>0</v>
      </c>
      <c r="AF46" s="316">
        <f t="shared" si="14"/>
        <v>0</v>
      </c>
      <c r="AG46" s="316">
        <f t="shared" si="14"/>
        <v>0</v>
      </c>
      <c r="AH46" s="316">
        <f t="shared" si="14"/>
        <v>0</v>
      </c>
      <c r="AI46" s="316">
        <f t="shared" si="14"/>
        <v>0</v>
      </c>
      <c r="AJ46" s="316">
        <f t="shared" si="15"/>
        <v>0</v>
      </c>
      <c r="AK46" s="316">
        <f t="shared" si="15"/>
        <v>0</v>
      </c>
      <c r="AL46" s="316">
        <f t="shared" si="15"/>
        <v>0</v>
      </c>
      <c r="AM46" s="316">
        <f t="shared" si="15"/>
        <v>0</v>
      </c>
      <c r="AN46" s="316">
        <f t="shared" si="15"/>
        <v>0</v>
      </c>
      <c r="AO46" s="316">
        <f t="shared" si="15"/>
        <v>0</v>
      </c>
      <c r="AP46" s="316">
        <f t="shared" si="15"/>
        <v>0</v>
      </c>
      <c r="AQ46" s="316">
        <f t="shared" si="15"/>
        <v>0</v>
      </c>
    </row>
    <row r="47" spans="1:44" s="144" customFormat="1" ht="13.35" customHeight="1">
      <c r="A47" s="124"/>
      <c r="B47" s="321" t="str">
        <f>'Existing Loans + Loan Pipeline'!$B38</f>
        <v>Red Rooster Farms</v>
      </c>
      <c r="C47" s="143">
        <f>'Existing Loans + Loan Pipeline'!E38</f>
        <v>50000</v>
      </c>
      <c r="D47" s="312">
        <f>'Existing Loans + Loan Pipeline'!C38</f>
        <v>44135</v>
      </c>
      <c r="E47" s="323">
        <f t="shared" si="7"/>
        <v>5</v>
      </c>
      <c r="F47" s="316">
        <f t="shared" si="12"/>
        <v>0</v>
      </c>
      <c r="G47" s="316">
        <f t="shared" si="12"/>
        <v>0</v>
      </c>
      <c r="H47" s="316">
        <f t="shared" si="12"/>
        <v>0</v>
      </c>
      <c r="I47" s="316">
        <f t="shared" si="12"/>
        <v>0</v>
      </c>
      <c r="J47" s="316">
        <f t="shared" si="12"/>
        <v>0</v>
      </c>
      <c r="K47" s="316">
        <f t="shared" si="12"/>
        <v>0</v>
      </c>
      <c r="L47" s="316">
        <f t="shared" si="12"/>
        <v>0</v>
      </c>
      <c r="M47" s="316">
        <f t="shared" si="12"/>
        <v>0</v>
      </c>
      <c r="N47" s="316">
        <f t="shared" si="12"/>
        <v>0</v>
      </c>
      <c r="O47" s="316">
        <f t="shared" si="12"/>
        <v>50000</v>
      </c>
      <c r="P47" s="316">
        <f t="shared" si="13"/>
        <v>0</v>
      </c>
      <c r="Q47" s="316">
        <f t="shared" si="13"/>
        <v>0</v>
      </c>
      <c r="R47" s="316">
        <f t="shared" si="13"/>
        <v>0</v>
      </c>
      <c r="S47" s="316">
        <f t="shared" si="13"/>
        <v>0</v>
      </c>
      <c r="T47" s="316">
        <f t="shared" si="13"/>
        <v>0</v>
      </c>
      <c r="U47" s="316">
        <f t="shared" si="13"/>
        <v>0</v>
      </c>
      <c r="V47" s="316">
        <f t="shared" si="13"/>
        <v>0</v>
      </c>
      <c r="W47" s="316">
        <f t="shared" si="13"/>
        <v>0</v>
      </c>
      <c r="X47" s="316">
        <f t="shared" si="13"/>
        <v>0</v>
      </c>
      <c r="Y47" s="316">
        <f t="shared" si="13"/>
        <v>0</v>
      </c>
      <c r="Z47" s="316">
        <f t="shared" si="14"/>
        <v>0</v>
      </c>
      <c r="AA47" s="316">
        <f t="shared" si="14"/>
        <v>0</v>
      </c>
      <c r="AB47" s="316">
        <f t="shared" si="14"/>
        <v>0</v>
      </c>
      <c r="AC47" s="316">
        <f t="shared" si="14"/>
        <v>0</v>
      </c>
      <c r="AD47" s="316">
        <f t="shared" si="14"/>
        <v>0</v>
      </c>
      <c r="AE47" s="316">
        <f t="shared" si="14"/>
        <v>0</v>
      </c>
      <c r="AF47" s="316">
        <f t="shared" si="14"/>
        <v>0</v>
      </c>
      <c r="AG47" s="316">
        <f t="shared" si="14"/>
        <v>0</v>
      </c>
      <c r="AH47" s="316">
        <f t="shared" si="14"/>
        <v>0</v>
      </c>
      <c r="AI47" s="316">
        <f t="shared" si="14"/>
        <v>0</v>
      </c>
      <c r="AJ47" s="316">
        <f t="shared" si="15"/>
        <v>0</v>
      </c>
      <c r="AK47" s="316">
        <f t="shared" si="15"/>
        <v>0</v>
      </c>
      <c r="AL47" s="316">
        <f t="shared" si="15"/>
        <v>0</v>
      </c>
      <c r="AM47" s="316">
        <f t="shared" si="15"/>
        <v>0</v>
      </c>
      <c r="AN47" s="316">
        <f t="shared" si="15"/>
        <v>0</v>
      </c>
      <c r="AO47" s="316">
        <f t="shared" si="15"/>
        <v>0</v>
      </c>
      <c r="AP47" s="316">
        <f t="shared" si="15"/>
        <v>0</v>
      </c>
      <c r="AQ47" s="316">
        <f t="shared" si="15"/>
        <v>0</v>
      </c>
    </row>
    <row r="48" spans="1:44" s="144" customFormat="1" ht="13.35" customHeight="1">
      <c r="A48" s="124"/>
      <c r="B48" s="321" t="str">
        <f>'Existing Loans + Loan Pipeline'!$B39</f>
        <v>Avrom Farms</v>
      </c>
      <c r="C48" s="143">
        <f>'Existing Loans + Loan Pipeline'!E39</f>
        <v>250000</v>
      </c>
      <c r="D48" s="312">
        <f>'Existing Loans + Loan Pipeline'!C39</f>
        <v>44135</v>
      </c>
      <c r="E48" s="323">
        <f t="shared" si="7"/>
        <v>5</v>
      </c>
      <c r="F48" s="316">
        <f t="shared" si="12"/>
        <v>0</v>
      </c>
      <c r="G48" s="316">
        <f t="shared" si="12"/>
        <v>0</v>
      </c>
      <c r="H48" s="316">
        <f t="shared" si="12"/>
        <v>0</v>
      </c>
      <c r="I48" s="316">
        <f t="shared" si="12"/>
        <v>0</v>
      </c>
      <c r="J48" s="316">
        <f t="shared" si="12"/>
        <v>0</v>
      </c>
      <c r="K48" s="316">
        <f t="shared" si="12"/>
        <v>0</v>
      </c>
      <c r="L48" s="316">
        <f t="shared" si="12"/>
        <v>0</v>
      </c>
      <c r="M48" s="316">
        <f t="shared" si="12"/>
        <v>0</v>
      </c>
      <c r="N48" s="316">
        <f t="shared" si="12"/>
        <v>0</v>
      </c>
      <c r="O48" s="316">
        <f t="shared" si="12"/>
        <v>250000</v>
      </c>
      <c r="P48" s="316">
        <f t="shared" si="13"/>
        <v>0</v>
      </c>
      <c r="Q48" s="316">
        <f t="shared" si="13"/>
        <v>0</v>
      </c>
      <c r="R48" s="316">
        <f t="shared" si="13"/>
        <v>0</v>
      </c>
      <c r="S48" s="316">
        <f t="shared" si="13"/>
        <v>0</v>
      </c>
      <c r="T48" s="316">
        <f t="shared" si="13"/>
        <v>0</v>
      </c>
      <c r="U48" s="316">
        <f t="shared" si="13"/>
        <v>0</v>
      </c>
      <c r="V48" s="316">
        <f t="shared" si="13"/>
        <v>0</v>
      </c>
      <c r="W48" s="316">
        <f t="shared" si="13"/>
        <v>0</v>
      </c>
      <c r="X48" s="316">
        <f t="shared" si="13"/>
        <v>0</v>
      </c>
      <c r="Y48" s="316">
        <f t="shared" si="13"/>
        <v>0</v>
      </c>
      <c r="Z48" s="316">
        <f t="shared" si="14"/>
        <v>0</v>
      </c>
      <c r="AA48" s="316">
        <f t="shared" si="14"/>
        <v>0</v>
      </c>
      <c r="AB48" s="316">
        <f t="shared" si="14"/>
        <v>0</v>
      </c>
      <c r="AC48" s="316">
        <f t="shared" si="14"/>
        <v>0</v>
      </c>
      <c r="AD48" s="316">
        <f t="shared" si="14"/>
        <v>0</v>
      </c>
      <c r="AE48" s="316">
        <f t="shared" si="14"/>
        <v>0</v>
      </c>
      <c r="AF48" s="316">
        <f t="shared" si="14"/>
        <v>0</v>
      </c>
      <c r="AG48" s="316">
        <f t="shared" si="14"/>
        <v>0</v>
      </c>
      <c r="AH48" s="316">
        <f t="shared" si="14"/>
        <v>0</v>
      </c>
      <c r="AI48" s="316">
        <f t="shared" si="14"/>
        <v>0</v>
      </c>
      <c r="AJ48" s="316">
        <f t="shared" si="15"/>
        <v>0</v>
      </c>
      <c r="AK48" s="316">
        <f t="shared" si="15"/>
        <v>0</v>
      </c>
      <c r="AL48" s="316">
        <f t="shared" si="15"/>
        <v>0</v>
      </c>
      <c r="AM48" s="316">
        <f t="shared" si="15"/>
        <v>0</v>
      </c>
      <c r="AN48" s="316">
        <f t="shared" si="15"/>
        <v>0</v>
      </c>
      <c r="AO48" s="316">
        <f t="shared" si="15"/>
        <v>0</v>
      </c>
      <c r="AP48" s="316">
        <f t="shared" si="15"/>
        <v>0</v>
      </c>
      <c r="AQ48" s="316">
        <f t="shared" si="15"/>
        <v>0</v>
      </c>
    </row>
    <row r="49" spans="1:44" s="144" customFormat="1" ht="13.35" customHeight="1">
      <c r="A49" s="124"/>
      <c r="B49" s="321" t="str">
        <f>'Existing Loans + Loan Pipeline'!$B40</f>
        <v>Clear Creek Family Farm</v>
      </c>
      <c r="C49" s="143">
        <f>'Existing Loans + Loan Pipeline'!E40</f>
        <v>200000</v>
      </c>
      <c r="D49" s="312">
        <f>'Existing Loans + Loan Pipeline'!C40</f>
        <v>44165</v>
      </c>
      <c r="E49" s="323">
        <f t="shared" si="7"/>
        <v>5</v>
      </c>
      <c r="F49" s="316">
        <f t="shared" si="12"/>
        <v>0</v>
      </c>
      <c r="G49" s="316">
        <f t="shared" si="12"/>
        <v>0</v>
      </c>
      <c r="H49" s="316">
        <f t="shared" si="12"/>
        <v>0</v>
      </c>
      <c r="I49" s="316">
        <f t="shared" si="12"/>
        <v>0</v>
      </c>
      <c r="J49" s="316">
        <f t="shared" si="12"/>
        <v>0</v>
      </c>
      <c r="K49" s="316">
        <f t="shared" si="12"/>
        <v>0</v>
      </c>
      <c r="L49" s="316">
        <f t="shared" si="12"/>
        <v>0</v>
      </c>
      <c r="M49" s="316">
        <f t="shared" si="12"/>
        <v>0</v>
      </c>
      <c r="N49" s="316">
        <f t="shared" si="12"/>
        <v>0</v>
      </c>
      <c r="O49" s="316">
        <f t="shared" si="12"/>
        <v>0</v>
      </c>
      <c r="P49" s="316">
        <f t="shared" si="13"/>
        <v>200000</v>
      </c>
      <c r="Q49" s="316">
        <f t="shared" si="13"/>
        <v>0</v>
      </c>
      <c r="R49" s="316">
        <f t="shared" si="13"/>
        <v>0</v>
      </c>
      <c r="S49" s="316">
        <f t="shared" si="13"/>
        <v>0</v>
      </c>
      <c r="T49" s="316">
        <f t="shared" si="13"/>
        <v>0</v>
      </c>
      <c r="U49" s="316">
        <f t="shared" si="13"/>
        <v>0</v>
      </c>
      <c r="V49" s="316">
        <f t="shared" si="13"/>
        <v>0</v>
      </c>
      <c r="W49" s="316">
        <f t="shared" si="13"/>
        <v>0</v>
      </c>
      <c r="X49" s="316">
        <f t="shared" si="13"/>
        <v>0</v>
      </c>
      <c r="Y49" s="316">
        <f t="shared" si="13"/>
        <v>0</v>
      </c>
      <c r="Z49" s="316">
        <f t="shared" si="14"/>
        <v>0</v>
      </c>
      <c r="AA49" s="316">
        <f t="shared" si="14"/>
        <v>0</v>
      </c>
      <c r="AB49" s="316">
        <f t="shared" si="14"/>
        <v>0</v>
      </c>
      <c r="AC49" s="316">
        <f t="shared" si="14"/>
        <v>0</v>
      </c>
      <c r="AD49" s="316">
        <f t="shared" si="14"/>
        <v>0</v>
      </c>
      <c r="AE49" s="316">
        <f t="shared" si="14"/>
        <v>0</v>
      </c>
      <c r="AF49" s="316">
        <f t="shared" si="14"/>
        <v>0</v>
      </c>
      <c r="AG49" s="316">
        <f t="shared" si="14"/>
        <v>0</v>
      </c>
      <c r="AH49" s="316">
        <f t="shared" si="14"/>
        <v>0</v>
      </c>
      <c r="AI49" s="316">
        <f t="shared" si="14"/>
        <v>0</v>
      </c>
      <c r="AJ49" s="316">
        <f t="shared" si="15"/>
        <v>0</v>
      </c>
      <c r="AK49" s="316">
        <f t="shared" si="15"/>
        <v>0</v>
      </c>
      <c r="AL49" s="316">
        <f t="shared" si="15"/>
        <v>0</v>
      </c>
      <c r="AM49" s="316">
        <f t="shared" si="15"/>
        <v>0</v>
      </c>
      <c r="AN49" s="316">
        <f t="shared" si="15"/>
        <v>0</v>
      </c>
      <c r="AO49" s="316">
        <f t="shared" si="15"/>
        <v>0</v>
      </c>
      <c r="AP49" s="316">
        <f t="shared" si="15"/>
        <v>0</v>
      </c>
      <c r="AQ49" s="316">
        <f t="shared" si="15"/>
        <v>0</v>
      </c>
    </row>
    <row r="50" spans="1:44" s="144" customFormat="1" ht="13.35" customHeight="1">
      <c r="A50" s="124"/>
      <c r="B50" s="321" t="str">
        <f>'Existing Loans + Loan Pipeline'!$B41</f>
        <v>Kubed Root</v>
      </c>
      <c r="C50" s="143">
        <f>'Existing Loans + Loan Pipeline'!E41</f>
        <v>50000</v>
      </c>
      <c r="D50" s="312">
        <f>'Existing Loans + Loan Pipeline'!C41</f>
        <v>44165</v>
      </c>
      <c r="E50" s="323">
        <f t="shared" si="7"/>
        <v>5</v>
      </c>
      <c r="F50" s="316">
        <f t="shared" si="12"/>
        <v>0</v>
      </c>
      <c r="G50" s="316">
        <f t="shared" si="12"/>
        <v>0</v>
      </c>
      <c r="H50" s="316">
        <f t="shared" si="12"/>
        <v>0</v>
      </c>
      <c r="I50" s="316">
        <f t="shared" si="12"/>
        <v>0</v>
      </c>
      <c r="J50" s="316">
        <f t="shared" si="12"/>
        <v>0</v>
      </c>
      <c r="K50" s="316">
        <f t="shared" si="12"/>
        <v>0</v>
      </c>
      <c r="L50" s="316">
        <f t="shared" si="12"/>
        <v>0</v>
      </c>
      <c r="M50" s="316">
        <f t="shared" si="12"/>
        <v>0</v>
      </c>
      <c r="N50" s="316">
        <f t="shared" si="12"/>
        <v>0</v>
      </c>
      <c r="O50" s="316">
        <f t="shared" si="12"/>
        <v>0</v>
      </c>
      <c r="P50" s="316">
        <f t="shared" si="13"/>
        <v>50000</v>
      </c>
      <c r="Q50" s="316">
        <f t="shared" si="13"/>
        <v>0</v>
      </c>
      <c r="R50" s="316">
        <f t="shared" si="13"/>
        <v>0</v>
      </c>
      <c r="S50" s="316">
        <f t="shared" si="13"/>
        <v>0</v>
      </c>
      <c r="T50" s="316">
        <f t="shared" si="13"/>
        <v>0</v>
      </c>
      <c r="U50" s="316">
        <f t="shared" si="13"/>
        <v>0</v>
      </c>
      <c r="V50" s="316">
        <f t="shared" si="13"/>
        <v>0</v>
      </c>
      <c r="W50" s="316">
        <f t="shared" si="13"/>
        <v>0</v>
      </c>
      <c r="X50" s="316">
        <f t="shared" si="13"/>
        <v>0</v>
      </c>
      <c r="Y50" s="316">
        <f t="shared" si="13"/>
        <v>0</v>
      </c>
      <c r="Z50" s="316">
        <f t="shared" si="14"/>
        <v>0</v>
      </c>
      <c r="AA50" s="316">
        <f t="shared" si="14"/>
        <v>0</v>
      </c>
      <c r="AB50" s="316">
        <f t="shared" si="14"/>
        <v>0</v>
      </c>
      <c r="AC50" s="316">
        <f t="shared" si="14"/>
        <v>0</v>
      </c>
      <c r="AD50" s="316">
        <f t="shared" si="14"/>
        <v>0</v>
      </c>
      <c r="AE50" s="316">
        <f t="shared" si="14"/>
        <v>0</v>
      </c>
      <c r="AF50" s="316">
        <f t="shared" si="14"/>
        <v>0</v>
      </c>
      <c r="AG50" s="316">
        <f t="shared" si="14"/>
        <v>0</v>
      </c>
      <c r="AH50" s="316">
        <f t="shared" si="14"/>
        <v>0</v>
      </c>
      <c r="AI50" s="316">
        <f t="shared" si="14"/>
        <v>0</v>
      </c>
      <c r="AJ50" s="316">
        <f t="shared" si="15"/>
        <v>0</v>
      </c>
      <c r="AK50" s="316">
        <f t="shared" si="15"/>
        <v>0</v>
      </c>
      <c r="AL50" s="316">
        <f t="shared" si="15"/>
        <v>0</v>
      </c>
      <c r="AM50" s="316">
        <f t="shared" si="15"/>
        <v>0</v>
      </c>
      <c r="AN50" s="316">
        <f t="shared" si="15"/>
        <v>0</v>
      </c>
      <c r="AO50" s="316">
        <f t="shared" si="15"/>
        <v>0</v>
      </c>
      <c r="AP50" s="316">
        <f t="shared" si="15"/>
        <v>0</v>
      </c>
      <c r="AQ50" s="316">
        <f t="shared" si="15"/>
        <v>0</v>
      </c>
    </row>
    <row r="51" spans="1:44" s="144" customFormat="1" ht="13.35" customHeight="1">
      <c r="A51" s="124"/>
      <c r="B51" s="321" t="str">
        <f>'Existing Loans + Loan Pipeline'!$B42</f>
        <v>Sierra Valley Farm</v>
      </c>
      <c r="C51" s="143">
        <f>'Existing Loans + Loan Pipeline'!E42</f>
        <v>0</v>
      </c>
      <c r="D51" s="312">
        <f>'Existing Loans + Loan Pipeline'!C42</f>
        <v>44196</v>
      </c>
      <c r="E51" s="323">
        <f t="shared" si="7"/>
        <v>5</v>
      </c>
      <c r="F51" s="316">
        <f t="shared" si="12"/>
        <v>0</v>
      </c>
      <c r="G51" s="316">
        <f t="shared" si="12"/>
        <v>0</v>
      </c>
      <c r="H51" s="316">
        <f t="shared" si="12"/>
        <v>0</v>
      </c>
      <c r="I51" s="316">
        <f t="shared" si="12"/>
        <v>0</v>
      </c>
      <c r="J51" s="316">
        <f t="shared" si="12"/>
        <v>0</v>
      </c>
      <c r="K51" s="316">
        <f t="shared" si="12"/>
        <v>0</v>
      </c>
      <c r="L51" s="316">
        <f t="shared" si="12"/>
        <v>0</v>
      </c>
      <c r="M51" s="316">
        <f t="shared" si="12"/>
        <v>0</v>
      </c>
      <c r="N51" s="316">
        <f t="shared" si="12"/>
        <v>0</v>
      </c>
      <c r="O51" s="316">
        <f t="shared" si="12"/>
        <v>0</v>
      </c>
      <c r="P51" s="316">
        <f t="shared" si="13"/>
        <v>0</v>
      </c>
      <c r="Q51" s="316">
        <f t="shared" si="13"/>
        <v>0</v>
      </c>
      <c r="R51" s="316">
        <f t="shared" si="13"/>
        <v>0</v>
      </c>
      <c r="S51" s="316">
        <f t="shared" si="13"/>
        <v>0</v>
      </c>
      <c r="T51" s="316">
        <f t="shared" si="13"/>
        <v>0</v>
      </c>
      <c r="U51" s="316">
        <f t="shared" si="13"/>
        <v>0</v>
      </c>
      <c r="V51" s="316">
        <f t="shared" si="13"/>
        <v>0</v>
      </c>
      <c r="W51" s="316">
        <f t="shared" si="13"/>
        <v>0</v>
      </c>
      <c r="X51" s="316">
        <f t="shared" si="13"/>
        <v>0</v>
      </c>
      <c r="Y51" s="316">
        <f t="shared" si="13"/>
        <v>0</v>
      </c>
      <c r="Z51" s="316">
        <f t="shared" si="14"/>
        <v>0</v>
      </c>
      <c r="AA51" s="316">
        <f t="shared" si="14"/>
        <v>0</v>
      </c>
      <c r="AB51" s="316">
        <f t="shared" si="14"/>
        <v>0</v>
      </c>
      <c r="AC51" s="316">
        <f t="shared" si="14"/>
        <v>0</v>
      </c>
      <c r="AD51" s="316">
        <f t="shared" si="14"/>
        <v>0</v>
      </c>
      <c r="AE51" s="316">
        <f t="shared" si="14"/>
        <v>0</v>
      </c>
      <c r="AF51" s="316">
        <f t="shared" si="14"/>
        <v>0</v>
      </c>
      <c r="AG51" s="316">
        <f t="shared" si="14"/>
        <v>0</v>
      </c>
      <c r="AH51" s="316">
        <f t="shared" si="14"/>
        <v>0</v>
      </c>
      <c r="AI51" s="316">
        <f t="shared" si="14"/>
        <v>0</v>
      </c>
      <c r="AJ51" s="316">
        <f t="shared" si="15"/>
        <v>0</v>
      </c>
      <c r="AK51" s="316">
        <f t="shared" si="15"/>
        <v>0</v>
      </c>
      <c r="AL51" s="316">
        <f t="shared" si="15"/>
        <v>0</v>
      </c>
      <c r="AM51" s="316">
        <f t="shared" si="15"/>
        <v>0</v>
      </c>
      <c r="AN51" s="316">
        <f t="shared" si="15"/>
        <v>0</v>
      </c>
      <c r="AO51" s="316">
        <f t="shared" si="15"/>
        <v>0</v>
      </c>
      <c r="AP51" s="316">
        <f t="shared" si="15"/>
        <v>0</v>
      </c>
      <c r="AQ51" s="316">
        <f t="shared" si="15"/>
        <v>0</v>
      </c>
    </row>
    <row r="52" spans="1:44" s="144" customFormat="1" ht="13.35" customHeight="1">
      <c r="A52" s="124" t="s">
        <v>47</v>
      </c>
      <c r="B52" s="310" t="str">
        <f>'Existing Loans + Loan Pipeline'!$B44</f>
        <v>2020 New Loans in Final Stage of Due Diligence as of February 29, 2020</v>
      </c>
      <c r="C52" s="307" t="str">
        <f>C35</f>
        <v>Loan Size</v>
      </c>
      <c r="D52" s="307" t="str">
        <f>D35</f>
        <v>Close Date</v>
      </c>
      <c r="E52" s="307" t="str">
        <f>E35</f>
        <v>Term (Years)</v>
      </c>
      <c r="F52" s="308"/>
      <c r="G52" s="309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11"/>
      <c r="AR52" s="144" t="s">
        <v>47</v>
      </c>
    </row>
    <row r="53" spans="1:44" s="144" customFormat="1" ht="13.35" customHeight="1">
      <c r="A53" s="124"/>
      <c r="B53" s="321" t="str">
        <f>'Existing Loans + Loan Pipeline'!$B45</f>
        <v>By George</v>
      </c>
      <c r="C53" s="143">
        <f>'Existing Loans + Loan Pipeline'!E45</f>
        <v>1000000</v>
      </c>
      <c r="D53" s="312">
        <f>'Existing Loans + Loan Pipeline'!C45</f>
        <v>44043</v>
      </c>
      <c r="E53" s="323">
        <f t="shared" si="7"/>
        <v>5</v>
      </c>
      <c r="F53" s="316">
        <f t="shared" si="12"/>
        <v>0</v>
      </c>
      <c r="G53" s="316">
        <f t="shared" si="12"/>
        <v>0</v>
      </c>
      <c r="H53" s="316">
        <f t="shared" si="12"/>
        <v>0</v>
      </c>
      <c r="I53" s="316">
        <f t="shared" si="12"/>
        <v>0</v>
      </c>
      <c r="J53" s="316">
        <f t="shared" si="12"/>
        <v>0</v>
      </c>
      <c r="K53" s="316">
        <f t="shared" si="12"/>
        <v>0</v>
      </c>
      <c r="L53" s="316">
        <f t="shared" si="12"/>
        <v>1000000</v>
      </c>
      <c r="M53" s="316">
        <f t="shared" si="12"/>
        <v>0</v>
      </c>
      <c r="N53" s="316">
        <f t="shared" si="12"/>
        <v>0</v>
      </c>
      <c r="O53" s="316">
        <f t="shared" si="12"/>
        <v>0</v>
      </c>
      <c r="P53" s="316">
        <f t="shared" si="13"/>
        <v>0</v>
      </c>
      <c r="Q53" s="316">
        <f t="shared" si="13"/>
        <v>0</v>
      </c>
      <c r="R53" s="316">
        <f t="shared" si="13"/>
        <v>0</v>
      </c>
      <c r="S53" s="316">
        <f t="shared" si="13"/>
        <v>0</v>
      </c>
      <c r="T53" s="316">
        <f t="shared" si="13"/>
        <v>0</v>
      </c>
      <c r="U53" s="316">
        <f t="shared" si="13"/>
        <v>0</v>
      </c>
      <c r="V53" s="316">
        <f t="shared" si="13"/>
        <v>0</v>
      </c>
      <c r="W53" s="316">
        <f t="shared" si="13"/>
        <v>0</v>
      </c>
      <c r="X53" s="316">
        <f t="shared" si="13"/>
        <v>0</v>
      </c>
      <c r="Y53" s="316">
        <f t="shared" si="13"/>
        <v>0</v>
      </c>
      <c r="Z53" s="316">
        <f t="shared" si="14"/>
        <v>0</v>
      </c>
      <c r="AA53" s="316">
        <f t="shared" si="14"/>
        <v>0</v>
      </c>
      <c r="AB53" s="316">
        <f t="shared" si="14"/>
        <v>0</v>
      </c>
      <c r="AC53" s="316">
        <f t="shared" si="14"/>
        <v>0</v>
      </c>
      <c r="AD53" s="316">
        <f t="shared" si="14"/>
        <v>0</v>
      </c>
      <c r="AE53" s="316">
        <f t="shared" si="14"/>
        <v>0</v>
      </c>
      <c r="AF53" s="316">
        <f t="shared" si="14"/>
        <v>0</v>
      </c>
      <c r="AG53" s="316">
        <f t="shared" si="14"/>
        <v>0</v>
      </c>
      <c r="AH53" s="316">
        <f t="shared" si="14"/>
        <v>0</v>
      </c>
      <c r="AI53" s="316">
        <f t="shared" si="14"/>
        <v>0</v>
      </c>
      <c r="AJ53" s="316">
        <f t="shared" si="15"/>
        <v>0</v>
      </c>
      <c r="AK53" s="316">
        <f t="shared" si="15"/>
        <v>0</v>
      </c>
      <c r="AL53" s="316">
        <f t="shared" si="15"/>
        <v>0</v>
      </c>
      <c r="AM53" s="316">
        <f t="shared" si="15"/>
        <v>0</v>
      </c>
      <c r="AN53" s="316">
        <f t="shared" si="15"/>
        <v>0</v>
      </c>
      <c r="AO53" s="316">
        <f t="shared" si="15"/>
        <v>0</v>
      </c>
      <c r="AP53" s="316">
        <f t="shared" si="15"/>
        <v>0</v>
      </c>
      <c r="AQ53" s="316">
        <f t="shared" si="15"/>
        <v>0</v>
      </c>
    </row>
    <row r="54" spans="1:44" s="144" customFormat="1" ht="13.35" customHeight="1">
      <c r="A54" s="124"/>
      <c r="B54" s="321" t="str">
        <f>'Existing Loans + Loan Pipeline'!$B46</f>
        <v>Nehalem</v>
      </c>
      <c r="C54" s="143">
        <f>'Existing Loans + Loan Pipeline'!E46</f>
        <v>1000000</v>
      </c>
      <c r="D54" s="312">
        <f>'Existing Loans + Loan Pipeline'!C46</f>
        <v>44104</v>
      </c>
      <c r="E54" s="323">
        <f t="shared" si="7"/>
        <v>5</v>
      </c>
      <c r="F54" s="316">
        <f t="shared" si="12"/>
        <v>0</v>
      </c>
      <c r="G54" s="316">
        <f t="shared" si="12"/>
        <v>0</v>
      </c>
      <c r="H54" s="316">
        <f t="shared" si="12"/>
        <v>0</v>
      </c>
      <c r="I54" s="316">
        <f t="shared" si="12"/>
        <v>0</v>
      </c>
      <c r="J54" s="316">
        <f t="shared" si="12"/>
        <v>0</v>
      </c>
      <c r="K54" s="316">
        <f t="shared" si="12"/>
        <v>0</v>
      </c>
      <c r="L54" s="316">
        <f t="shared" si="12"/>
        <v>0</v>
      </c>
      <c r="M54" s="316">
        <f t="shared" si="12"/>
        <v>0</v>
      </c>
      <c r="N54" s="316">
        <f t="shared" si="12"/>
        <v>1000000</v>
      </c>
      <c r="O54" s="316">
        <f t="shared" si="12"/>
        <v>0</v>
      </c>
      <c r="P54" s="316">
        <f t="shared" si="13"/>
        <v>0</v>
      </c>
      <c r="Q54" s="316">
        <f t="shared" si="13"/>
        <v>0</v>
      </c>
      <c r="R54" s="316">
        <f t="shared" si="13"/>
        <v>0</v>
      </c>
      <c r="S54" s="316">
        <f t="shared" si="13"/>
        <v>0</v>
      </c>
      <c r="T54" s="316">
        <f t="shared" si="13"/>
        <v>0</v>
      </c>
      <c r="U54" s="316">
        <f t="shared" si="13"/>
        <v>0</v>
      </c>
      <c r="V54" s="316">
        <f t="shared" si="13"/>
        <v>0</v>
      </c>
      <c r="W54" s="316">
        <f t="shared" si="13"/>
        <v>0</v>
      </c>
      <c r="X54" s="316">
        <f t="shared" si="13"/>
        <v>0</v>
      </c>
      <c r="Y54" s="316">
        <f t="shared" si="13"/>
        <v>0</v>
      </c>
      <c r="Z54" s="316">
        <f t="shared" si="14"/>
        <v>0</v>
      </c>
      <c r="AA54" s="316">
        <f t="shared" si="14"/>
        <v>0</v>
      </c>
      <c r="AB54" s="316">
        <f t="shared" si="14"/>
        <v>0</v>
      </c>
      <c r="AC54" s="316">
        <f t="shared" si="14"/>
        <v>0</v>
      </c>
      <c r="AD54" s="316">
        <f t="shared" si="14"/>
        <v>0</v>
      </c>
      <c r="AE54" s="316">
        <f t="shared" si="14"/>
        <v>0</v>
      </c>
      <c r="AF54" s="316">
        <f t="shared" si="14"/>
        <v>0</v>
      </c>
      <c r="AG54" s="316">
        <f t="shared" si="14"/>
        <v>0</v>
      </c>
      <c r="AH54" s="316">
        <f t="shared" si="14"/>
        <v>0</v>
      </c>
      <c r="AI54" s="316">
        <f t="shared" si="14"/>
        <v>0</v>
      </c>
      <c r="AJ54" s="316">
        <f t="shared" si="15"/>
        <v>0</v>
      </c>
      <c r="AK54" s="316">
        <f t="shared" si="15"/>
        <v>0</v>
      </c>
      <c r="AL54" s="316">
        <f t="shared" si="15"/>
        <v>0</v>
      </c>
      <c r="AM54" s="316">
        <f t="shared" si="15"/>
        <v>0</v>
      </c>
      <c r="AN54" s="316">
        <f t="shared" si="15"/>
        <v>0</v>
      </c>
      <c r="AO54" s="316">
        <f t="shared" si="15"/>
        <v>0</v>
      </c>
      <c r="AP54" s="316">
        <f t="shared" si="15"/>
        <v>0</v>
      </c>
      <c r="AQ54" s="316">
        <f t="shared" si="15"/>
        <v>0</v>
      </c>
    </row>
    <row r="55" spans="1:44" s="144" customFormat="1" ht="13.35" customHeight="1">
      <c r="A55" s="124"/>
      <c r="B55" s="321" t="str">
        <f>'Existing Loans + Loan Pipeline'!$B47</f>
        <v>Grand Isle Sea Farms</v>
      </c>
      <c r="C55" s="143">
        <f>'Existing Loans + Loan Pipeline'!E47</f>
        <v>1000000</v>
      </c>
      <c r="D55" s="312">
        <f>'Existing Loans + Loan Pipeline'!C47</f>
        <v>44135</v>
      </c>
      <c r="E55" s="323">
        <f t="shared" si="7"/>
        <v>5</v>
      </c>
      <c r="F55" s="316">
        <f t="shared" ref="F55:U67" si="16">IF($D55=F$5,$C55,0)</f>
        <v>0</v>
      </c>
      <c r="G55" s="316">
        <f t="shared" si="16"/>
        <v>0</v>
      </c>
      <c r="H55" s="316">
        <f t="shared" si="16"/>
        <v>0</v>
      </c>
      <c r="I55" s="316">
        <f t="shared" si="16"/>
        <v>0</v>
      </c>
      <c r="J55" s="316">
        <f t="shared" si="16"/>
        <v>0</v>
      </c>
      <c r="K55" s="316">
        <f t="shared" si="16"/>
        <v>0</v>
      </c>
      <c r="L55" s="316">
        <f t="shared" si="16"/>
        <v>0</v>
      </c>
      <c r="M55" s="316">
        <f t="shared" si="16"/>
        <v>0</v>
      </c>
      <c r="N55" s="316">
        <f t="shared" si="16"/>
        <v>0</v>
      </c>
      <c r="O55" s="316">
        <f t="shared" si="16"/>
        <v>1000000</v>
      </c>
      <c r="P55" s="316">
        <f t="shared" si="16"/>
        <v>0</v>
      </c>
      <c r="Q55" s="316">
        <f t="shared" si="16"/>
        <v>0</v>
      </c>
      <c r="R55" s="316">
        <f t="shared" si="16"/>
        <v>0</v>
      </c>
      <c r="S55" s="316">
        <f t="shared" si="16"/>
        <v>0</v>
      </c>
      <c r="T55" s="316">
        <f t="shared" si="16"/>
        <v>0</v>
      </c>
      <c r="U55" s="316">
        <f t="shared" si="16"/>
        <v>0</v>
      </c>
      <c r="V55" s="316">
        <f t="shared" ref="V55:AK71" si="17">IF($D55=V$5,$C55,0)</f>
        <v>0</v>
      </c>
      <c r="W55" s="316">
        <f t="shared" si="17"/>
        <v>0</v>
      </c>
      <c r="X55" s="316">
        <f t="shared" si="17"/>
        <v>0</v>
      </c>
      <c r="Y55" s="316">
        <f t="shared" si="17"/>
        <v>0</v>
      </c>
      <c r="Z55" s="316">
        <f t="shared" si="17"/>
        <v>0</v>
      </c>
      <c r="AA55" s="316">
        <f t="shared" si="17"/>
        <v>0</v>
      </c>
      <c r="AB55" s="316">
        <f t="shared" si="17"/>
        <v>0</v>
      </c>
      <c r="AC55" s="316">
        <f t="shared" si="17"/>
        <v>0</v>
      </c>
      <c r="AD55" s="316">
        <f t="shared" si="17"/>
        <v>0</v>
      </c>
      <c r="AE55" s="316">
        <f t="shared" si="17"/>
        <v>0</v>
      </c>
      <c r="AF55" s="316">
        <f t="shared" si="17"/>
        <v>0</v>
      </c>
      <c r="AG55" s="316">
        <f t="shared" si="17"/>
        <v>0</v>
      </c>
      <c r="AH55" s="316">
        <f t="shared" si="17"/>
        <v>0</v>
      </c>
      <c r="AI55" s="316">
        <f t="shared" si="17"/>
        <v>0</v>
      </c>
      <c r="AJ55" s="316">
        <f t="shared" si="17"/>
        <v>0</v>
      </c>
      <c r="AK55" s="316">
        <f t="shared" si="17"/>
        <v>0</v>
      </c>
      <c r="AL55" s="316">
        <f t="shared" ref="AJ55:AQ72" si="18">IF($D55=AL$5,$C55,0)</f>
        <v>0</v>
      </c>
      <c r="AM55" s="316">
        <f t="shared" si="18"/>
        <v>0</v>
      </c>
      <c r="AN55" s="316">
        <f t="shared" si="18"/>
        <v>0</v>
      </c>
      <c r="AO55" s="316">
        <f t="shared" si="18"/>
        <v>0</v>
      </c>
      <c r="AP55" s="316">
        <f t="shared" si="18"/>
        <v>0</v>
      </c>
      <c r="AQ55" s="316">
        <f t="shared" si="18"/>
        <v>0</v>
      </c>
    </row>
    <row r="56" spans="1:44" s="144" customFormat="1" ht="13.35" customHeight="1">
      <c r="A56" s="124"/>
      <c r="B56" s="321" t="str">
        <f>'Existing Loans + Loan Pipeline'!$B48</f>
        <v>North Bridger Bison</v>
      </c>
      <c r="C56" s="143">
        <f>'Existing Loans + Loan Pipeline'!E48</f>
        <v>500000</v>
      </c>
      <c r="D56" s="312">
        <f>'Existing Loans + Loan Pipeline'!C48</f>
        <v>44165</v>
      </c>
      <c r="E56" s="323">
        <f t="shared" si="7"/>
        <v>5</v>
      </c>
      <c r="F56" s="316">
        <f t="shared" si="16"/>
        <v>0</v>
      </c>
      <c r="G56" s="316">
        <f t="shared" si="16"/>
        <v>0</v>
      </c>
      <c r="H56" s="316">
        <f t="shared" si="16"/>
        <v>0</v>
      </c>
      <c r="I56" s="316">
        <f t="shared" si="16"/>
        <v>0</v>
      </c>
      <c r="J56" s="316">
        <f t="shared" si="16"/>
        <v>0</v>
      </c>
      <c r="K56" s="316">
        <f t="shared" si="16"/>
        <v>0</v>
      </c>
      <c r="L56" s="316">
        <f t="shared" si="16"/>
        <v>0</v>
      </c>
      <c r="M56" s="316">
        <f t="shared" si="16"/>
        <v>0</v>
      </c>
      <c r="N56" s="316">
        <f t="shared" si="16"/>
        <v>0</v>
      </c>
      <c r="O56" s="316">
        <f t="shared" si="16"/>
        <v>0</v>
      </c>
      <c r="P56" s="316">
        <f t="shared" si="16"/>
        <v>500000</v>
      </c>
      <c r="Q56" s="316">
        <f t="shared" si="16"/>
        <v>0</v>
      </c>
      <c r="R56" s="316">
        <f t="shared" si="16"/>
        <v>0</v>
      </c>
      <c r="S56" s="316">
        <f t="shared" si="16"/>
        <v>0</v>
      </c>
      <c r="T56" s="316">
        <f t="shared" si="16"/>
        <v>0</v>
      </c>
      <c r="U56" s="316">
        <f t="shared" si="16"/>
        <v>0</v>
      </c>
      <c r="V56" s="316">
        <f t="shared" si="17"/>
        <v>0</v>
      </c>
      <c r="W56" s="316">
        <f t="shared" si="17"/>
        <v>0</v>
      </c>
      <c r="X56" s="316">
        <f t="shared" si="17"/>
        <v>0</v>
      </c>
      <c r="Y56" s="316">
        <f t="shared" si="17"/>
        <v>0</v>
      </c>
      <c r="Z56" s="316">
        <f t="shared" si="17"/>
        <v>0</v>
      </c>
      <c r="AA56" s="316">
        <f t="shared" si="17"/>
        <v>0</v>
      </c>
      <c r="AB56" s="316">
        <f t="shared" si="17"/>
        <v>0</v>
      </c>
      <c r="AC56" s="316">
        <f t="shared" si="17"/>
        <v>0</v>
      </c>
      <c r="AD56" s="316">
        <f t="shared" si="17"/>
        <v>0</v>
      </c>
      <c r="AE56" s="316">
        <f t="shared" si="17"/>
        <v>0</v>
      </c>
      <c r="AF56" s="316">
        <f t="shared" si="17"/>
        <v>0</v>
      </c>
      <c r="AG56" s="316">
        <f t="shared" si="17"/>
        <v>0</v>
      </c>
      <c r="AH56" s="316">
        <f t="shared" si="17"/>
        <v>0</v>
      </c>
      <c r="AI56" s="316">
        <f t="shared" si="17"/>
        <v>0</v>
      </c>
      <c r="AJ56" s="316">
        <f t="shared" si="18"/>
        <v>0</v>
      </c>
      <c r="AK56" s="316">
        <f t="shared" si="18"/>
        <v>0</v>
      </c>
      <c r="AL56" s="316">
        <f t="shared" si="18"/>
        <v>0</v>
      </c>
      <c r="AM56" s="316">
        <f t="shared" si="18"/>
        <v>0</v>
      </c>
      <c r="AN56" s="316">
        <f t="shared" si="18"/>
        <v>0</v>
      </c>
      <c r="AO56" s="316">
        <f t="shared" si="18"/>
        <v>0</v>
      </c>
      <c r="AP56" s="316">
        <f t="shared" si="18"/>
        <v>0</v>
      </c>
      <c r="AQ56" s="316">
        <f t="shared" si="18"/>
        <v>0</v>
      </c>
    </row>
    <row r="57" spans="1:44" s="144" customFormat="1" ht="13.35" hidden="1" customHeight="1" outlineLevel="1">
      <c r="A57" s="124"/>
      <c r="B57" s="577" t="str">
        <f>'Existing Loans + Loan Pipeline'!$B54</f>
        <v>[OTHER] FOR FUTURE INTERNAL BUDGETING PURPOSES</v>
      </c>
      <c r="C57" s="143">
        <f>'Existing Loans + Loan Pipeline'!E54</f>
        <v>0</v>
      </c>
      <c r="D57" s="312">
        <f>'Existing Loans + Loan Pipeline'!C54</f>
        <v>0</v>
      </c>
      <c r="E57" s="323">
        <f t="shared" si="7"/>
        <v>5</v>
      </c>
      <c r="F57" s="316">
        <f t="shared" si="16"/>
        <v>0</v>
      </c>
      <c r="G57" s="316">
        <f t="shared" si="16"/>
        <v>0</v>
      </c>
      <c r="H57" s="316">
        <f t="shared" si="16"/>
        <v>0</v>
      </c>
      <c r="I57" s="316">
        <f t="shared" si="16"/>
        <v>0</v>
      </c>
      <c r="J57" s="316">
        <f t="shared" si="16"/>
        <v>0</v>
      </c>
      <c r="K57" s="316">
        <f t="shared" si="16"/>
        <v>0</v>
      </c>
      <c r="L57" s="316">
        <f t="shared" si="16"/>
        <v>0</v>
      </c>
      <c r="M57" s="316">
        <f t="shared" si="16"/>
        <v>0</v>
      </c>
      <c r="N57" s="316">
        <f t="shared" si="16"/>
        <v>0</v>
      </c>
      <c r="O57" s="316">
        <f t="shared" si="16"/>
        <v>0</v>
      </c>
      <c r="P57" s="316">
        <f t="shared" si="16"/>
        <v>0</v>
      </c>
      <c r="Q57" s="316">
        <f t="shared" si="16"/>
        <v>0</v>
      </c>
      <c r="R57" s="316">
        <f t="shared" si="16"/>
        <v>0</v>
      </c>
      <c r="S57" s="316">
        <f t="shared" si="16"/>
        <v>0</v>
      </c>
      <c r="T57" s="316">
        <f t="shared" si="16"/>
        <v>0</v>
      </c>
      <c r="U57" s="316">
        <f t="shared" si="16"/>
        <v>0</v>
      </c>
      <c r="V57" s="316">
        <f t="shared" si="17"/>
        <v>0</v>
      </c>
      <c r="W57" s="316">
        <f t="shared" si="17"/>
        <v>0</v>
      </c>
      <c r="X57" s="316">
        <f t="shared" si="17"/>
        <v>0</v>
      </c>
      <c r="Y57" s="316">
        <f t="shared" si="17"/>
        <v>0</v>
      </c>
      <c r="Z57" s="316">
        <f t="shared" si="17"/>
        <v>0</v>
      </c>
      <c r="AA57" s="316">
        <f t="shared" si="17"/>
        <v>0</v>
      </c>
      <c r="AB57" s="316">
        <f t="shared" si="17"/>
        <v>0</v>
      </c>
      <c r="AC57" s="316">
        <f t="shared" si="17"/>
        <v>0</v>
      </c>
      <c r="AD57" s="316">
        <f t="shared" si="17"/>
        <v>0</v>
      </c>
      <c r="AE57" s="316">
        <f t="shared" si="17"/>
        <v>0</v>
      </c>
      <c r="AF57" s="316">
        <f t="shared" si="17"/>
        <v>0</v>
      </c>
      <c r="AG57" s="316">
        <f t="shared" si="17"/>
        <v>0</v>
      </c>
      <c r="AH57" s="316">
        <f t="shared" si="17"/>
        <v>0</v>
      </c>
      <c r="AI57" s="316">
        <f t="shared" si="17"/>
        <v>0</v>
      </c>
      <c r="AJ57" s="316">
        <f t="shared" si="18"/>
        <v>0</v>
      </c>
      <c r="AK57" s="316">
        <f t="shared" si="18"/>
        <v>0</v>
      </c>
      <c r="AL57" s="316">
        <f t="shared" si="18"/>
        <v>0</v>
      </c>
      <c r="AM57" s="316">
        <f t="shared" si="18"/>
        <v>0</v>
      </c>
      <c r="AN57" s="316">
        <f t="shared" si="18"/>
        <v>0</v>
      </c>
      <c r="AO57" s="316">
        <f t="shared" si="18"/>
        <v>0</v>
      </c>
      <c r="AP57" s="316">
        <f t="shared" si="18"/>
        <v>0</v>
      </c>
      <c r="AQ57" s="316">
        <f t="shared" si="18"/>
        <v>0</v>
      </c>
    </row>
    <row r="58" spans="1:44" s="144" customFormat="1" ht="13.35" hidden="1" customHeight="1" outlineLevel="1">
      <c r="A58" s="124"/>
      <c r="B58" s="577" t="str">
        <f>'Existing Loans + Loan Pipeline'!$B55</f>
        <v>[OTHER] FOR FUTURE INTERNAL BUDGETING PURPOSES</v>
      </c>
      <c r="C58" s="143">
        <f>'Existing Loans + Loan Pipeline'!E55</f>
        <v>0</v>
      </c>
      <c r="D58" s="312">
        <f>'Existing Loans + Loan Pipeline'!C55</f>
        <v>0</v>
      </c>
      <c r="E58" s="323">
        <f t="shared" si="7"/>
        <v>5</v>
      </c>
      <c r="F58" s="316">
        <f t="shared" si="16"/>
        <v>0</v>
      </c>
      <c r="G58" s="316">
        <f t="shared" si="16"/>
        <v>0</v>
      </c>
      <c r="H58" s="316">
        <f t="shared" si="16"/>
        <v>0</v>
      </c>
      <c r="I58" s="316">
        <f t="shared" si="16"/>
        <v>0</v>
      </c>
      <c r="J58" s="316">
        <f t="shared" si="16"/>
        <v>0</v>
      </c>
      <c r="K58" s="316">
        <f t="shared" si="16"/>
        <v>0</v>
      </c>
      <c r="L58" s="316">
        <f t="shared" si="16"/>
        <v>0</v>
      </c>
      <c r="M58" s="316">
        <f t="shared" si="16"/>
        <v>0</v>
      </c>
      <c r="N58" s="316">
        <f t="shared" si="16"/>
        <v>0</v>
      </c>
      <c r="O58" s="316">
        <f t="shared" si="16"/>
        <v>0</v>
      </c>
      <c r="P58" s="316">
        <f t="shared" si="16"/>
        <v>0</v>
      </c>
      <c r="Q58" s="316">
        <f t="shared" si="16"/>
        <v>0</v>
      </c>
      <c r="R58" s="316">
        <f t="shared" si="16"/>
        <v>0</v>
      </c>
      <c r="S58" s="316">
        <f t="shared" si="16"/>
        <v>0</v>
      </c>
      <c r="T58" s="316">
        <f t="shared" si="16"/>
        <v>0</v>
      </c>
      <c r="U58" s="316">
        <f t="shared" si="16"/>
        <v>0</v>
      </c>
      <c r="V58" s="316">
        <f t="shared" si="17"/>
        <v>0</v>
      </c>
      <c r="W58" s="316">
        <f t="shared" si="17"/>
        <v>0</v>
      </c>
      <c r="X58" s="316">
        <f t="shared" si="17"/>
        <v>0</v>
      </c>
      <c r="Y58" s="316">
        <f t="shared" si="17"/>
        <v>0</v>
      </c>
      <c r="Z58" s="316">
        <f t="shared" si="17"/>
        <v>0</v>
      </c>
      <c r="AA58" s="316">
        <f t="shared" si="17"/>
        <v>0</v>
      </c>
      <c r="AB58" s="316">
        <f t="shared" si="17"/>
        <v>0</v>
      </c>
      <c r="AC58" s="316">
        <f t="shared" si="17"/>
        <v>0</v>
      </c>
      <c r="AD58" s="316">
        <f t="shared" si="17"/>
        <v>0</v>
      </c>
      <c r="AE58" s="316">
        <f t="shared" si="17"/>
        <v>0</v>
      </c>
      <c r="AF58" s="316">
        <f t="shared" si="17"/>
        <v>0</v>
      </c>
      <c r="AG58" s="316">
        <f t="shared" si="17"/>
        <v>0</v>
      </c>
      <c r="AH58" s="316">
        <f t="shared" si="17"/>
        <v>0</v>
      </c>
      <c r="AI58" s="316">
        <f t="shared" si="17"/>
        <v>0</v>
      </c>
      <c r="AJ58" s="316">
        <f t="shared" si="18"/>
        <v>0</v>
      </c>
      <c r="AK58" s="316">
        <f t="shared" si="18"/>
        <v>0</v>
      </c>
      <c r="AL58" s="316">
        <f t="shared" si="18"/>
        <v>0</v>
      </c>
      <c r="AM58" s="316">
        <f t="shared" si="18"/>
        <v>0</v>
      </c>
      <c r="AN58" s="316">
        <f t="shared" si="18"/>
        <v>0</v>
      </c>
      <c r="AO58" s="316">
        <f t="shared" si="18"/>
        <v>0</v>
      </c>
      <c r="AP58" s="316">
        <f t="shared" si="18"/>
        <v>0</v>
      </c>
      <c r="AQ58" s="316">
        <f t="shared" si="18"/>
        <v>0</v>
      </c>
    </row>
    <row r="59" spans="1:44" s="144" customFormat="1" ht="13.35" hidden="1" customHeight="1" outlineLevel="1">
      <c r="A59" s="124"/>
      <c r="B59" s="577" t="str">
        <f>'Existing Loans + Loan Pipeline'!$B56</f>
        <v>[OTHER] FOR FUTURE INTERNAL BUDGETING PURPOSES</v>
      </c>
      <c r="C59" s="143">
        <f>'Existing Loans + Loan Pipeline'!E56</f>
        <v>0</v>
      </c>
      <c r="D59" s="312">
        <f>'Existing Loans + Loan Pipeline'!C56</f>
        <v>0</v>
      </c>
      <c r="E59" s="323">
        <f t="shared" si="7"/>
        <v>5</v>
      </c>
      <c r="F59" s="316">
        <f t="shared" si="16"/>
        <v>0</v>
      </c>
      <c r="G59" s="316">
        <f t="shared" si="16"/>
        <v>0</v>
      </c>
      <c r="H59" s="316">
        <f t="shared" si="16"/>
        <v>0</v>
      </c>
      <c r="I59" s="316">
        <f t="shared" si="16"/>
        <v>0</v>
      </c>
      <c r="J59" s="316">
        <f t="shared" si="16"/>
        <v>0</v>
      </c>
      <c r="K59" s="316">
        <f t="shared" si="16"/>
        <v>0</v>
      </c>
      <c r="L59" s="316">
        <f t="shared" si="16"/>
        <v>0</v>
      </c>
      <c r="M59" s="316">
        <f t="shared" si="16"/>
        <v>0</v>
      </c>
      <c r="N59" s="316">
        <f t="shared" si="16"/>
        <v>0</v>
      </c>
      <c r="O59" s="316">
        <f t="shared" si="16"/>
        <v>0</v>
      </c>
      <c r="P59" s="316">
        <f t="shared" si="16"/>
        <v>0</v>
      </c>
      <c r="Q59" s="316">
        <f t="shared" si="16"/>
        <v>0</v>
      </c>
      <c r="R59" s="316">
        <f t="shared" si="16"/>
        <v>0</v>
      </c>
      <c r="S59" s="316">
        <f t="shared" si="16"/>
        <v>0</v>
      </c>
      <c r="T59" s="316">
        <f t="shared" si="16"/>
        <v>0</v>
      </c>
      <c r="U59" s="316">
        <f t="shared" si="16"/>
        <v>0</v>
      </c>
      <c r="V59" s="316">
        <f t="shared" si="17"/>
        <v>0</v>
      </c>
      <c r="W59" s="316">
        <f t="shared" si="17"/>
        <v>0</v>
      </c>
      <c r="X59" s="316">
        <f t="shared" si="17"/>
        <v>0</v>
      </c>
      <c r="Y59" s="316">
        <f t="shared" si="17"/>
        <v>0</v>
      </c>
      <c r="Z59" s="316">
        <f t="shared" si="17"/>
        <v>0</v>
      </c>
      <c r="AA59" s="316">
        <f t="shared" si="17"/>
        <v>0</v>
      </c>
      <c r="AB59" s="316">
        <f t="shared" si="17"/>
        <v>0</v>
      </c>
      <c r="AC59" s="316">
        <f t="shared" si="17"/>
        <v>0</v>
      </c>
      <c r="AD59" s="316">
        <f t="shared" si="17"/>
        <v>0</v>
      </c>
      <c r="AE59" s="316">
        <f t="shared" si="17"/>
        <v>0</v>
      </c>
      <c r="AF59" s="316">
        <f t="shared" si="17"/>
        <v>0</v>
      </c>
      <c r="AG59" s="316">
        <f t="shared" si="17"/>
        <v>0</v>
      </c>
      <c r="AH59" s="316">
        <f t="shared" si="17"/>
        <v>0</v>
      </c>
      <c r="AI59" s="316">
        <f t="shared" si="17"/>
        <v>0</v>
      </c>
      <c r="AJ59" s="316">
        <f t="shared" si="18"/>
        <v>0</v>
      </c>
      <c r="AK59" s="316">
        <f t="shared" si="18"/>
        <v>0</v>
      </c>
      <c r="AL59" s="316">
        <f t="shared" si="18"/>
        <v>0</v>
      </c>
      <c r="AM59" s="316">
        <f t="shared" si="18"/>
        <v>0</v>
      </c>
      <c r="AN59" s="316">
        <f t="shared" si="18"/>
        <v>0</v>
      </c>
      <c r="AO59" s="316">
        <f t="shared" si="18"/>
        <v>0</v>
      </c>
      <c r="AP59" s="316">
        <f t="shared" si="18"/>
        <v>0</v>
      </c>
      <c r="AQ59" s="316">
        <f t="shared" si="18"/>
        <v>0</v>
      </c>
    </row>
    <row r="60" spans="1:44" s="144" customFormat="1" ht="13.35" hidden="1" customHeight="1" outlineLevel="1">
      <c r="A60" s="124"/>
      <c r="B60" s="577" t="str">
        <f>'Existing Loans + Loan Pipeline'!$B57</f>
        <v>[OTHER] FOR FUTURE INTERNAL BUDGETING PURPOSES</v>
      </c>
      <c r="C60" s="143">
        <f>'Existing Loans + Loan Pipeline'!E57</f>
        <v>0</v>
      </c>
      <c r="D60" s="312">
        <f>'Existing Loans + Loan Pipeline'!C57</f>
        <v>0</v>
      </c>
      <c r="E60" s="323">
        <f t="shared" si="7"/>
        <v>5</v>
      </c>
      <c r="F60" s="316">
        <f t="shared" si="16"/>
        <v>0</v>
      </c>
      <c r="G60" s="316">
        <f t="shared" si="16"/>
        <v>0</v>
      </c>
      <c r="H60" s="316">
        <f t="shared" si="16"/>
        <v>0</v>
      </c>
      <c r="I60" s="316">
        <f t="shared" si="16"/>
        <v>0</v>
      </c>
      <c r="J60" s="316">
        <f t="shared" si="16"/>
        <v>0</v>
      </c>
      <c r="K60" s="316">
        <f t="shared" si="16"/>
        <v>0</v>
      </c>
      <c r="L60" s="316">
        <f t="shared" si="16"/>
        <v>0</v>
      </c>
      <c r="M60" s="316">
        <f t="shared" si="16"/>
        <v>0</v>
      </c>
      <c r="N60" s="316">
        <f t="shared" si="16"/>
        <v>0</v>
      </c>
      <c r="O60" s="316">
        <f t="shared" si="16"/>
        <v>0</v>
      </c>
      <c r="P60" s="316">
        <f t="shared" si="16"/>
        <v>0</v>
      </c>
      <c r="Q60" s="316">
        <f t="shared" si="16"/>
        <v>0</v>
      </c>
      <c r="R60" s="316">
        <f t="shared" si="16"/>
        <v>0</v>
      </c>
      <c r="S60" s="316">
        <f t="shared" si="16"/>
        <v>0</v>
      </c>
      <c r="T60" s="316">
        <f t="shared" si="16"/>
        <v>0</v>
      </c>
      <c r="U60" s="316">
        <f t="shared" si="16"/>
        <v>0</v>
      </c>
      <c r="V60" s="316">
        <f t="shared" si="17"/>
        <v>0</v>
      </c>
      <c r="W60" s="316">
        <f t="shared" si="17"/>
        <v>0</v>
      </c>
      <c r="X60" s="316">
        <f t="shared" si="17"/>
        <v>0</v>
      </c>
      <c r="Y60" s="316">
        <f t="shared" si="17"/>
        <v>0</v>
      </c>
      <c r="Z60" s="316">
        <f t="shared" si="17"/>
        <v>0</v>
      </c>
      <c r="AA60" s="316">
        <f t="shared" si="17"/>
        <v>0</v>
      </c>
      <c r="AB60" s="316">
        <f t="shared" si="17"/>
        <v>0</v>
      </c>
      <c r="AC60" s="316">
        <f t="shared" si="17"/>
        <v>0</v>
      </c>
      <c r="AD60" s="316">
        <f t="shared" si="17"/>
        <v>0</v>
      </c>
      <c r="AE60" s="316">
        <f t="shared" si="17"/>
        <v>0</v>
      </c>
      <c r="AF60" s="316">
        <f t="shared" si="17"/>
        <v>0</v>
      </c>
      <c r="AG60" s="316">
        <f t="shared" si="17"/>
        <v>0</v>
      </c>
      <c r="AH60" s="316">
        <f t="shared" si="17"/>
        <v>0</v>
      </c>
      <c r="AI60" s="316">
        <f t="shared" si="17"/>
        <v>0</v>
      </c>
      <c r="AJ60" s="316">
        <f t="shared" si="18"/>
        <v>0</v>
      </c>
      <c r="AK60" s="316">
        <f t="shared" si="18"/>
        <v>0</v>
      </c>
      <c r="AL60" s="316">
        <f t="shared" si="18"/>
        <v>0</v>
      </c>
      <c r="AM60" s="316">
        <f t="shared" si="18"/>
        <v>0</v>
      </c>
      <c r="AN60" s="316">
        <f t="shared" si="18"/>
        <v>0</v>
      </c>
      <c r="AO60" s="316">
        <f t="shared" si="18"/>
        <v>0</v>
      </c>
      <c r="AP60" s="316">
        <f t="shared" si="18"/>
        <v>0</v>
      </c>
      <c r="AQ60" s="316">
        <f t="shared" si="18"/>
        <v>0</v>
      </c>
    </row>
    <row r="61" spans="1:44" s="144" customFormat="1" ht="13.35" hidden="1" customHeight="1" outlineLevel="1">
      <c r="A61" s="124"/>
      <c r="B61" s="577" t="str">
        <f>'Existing Loans + Loan Pipeline'!$B58</f>
        <v>[OTHER] FOR FUTURE INTERNAL BUDGETING PURPOSES</v>
      </c>
      <c r="C61" s="143">
        <f>'Existing Loans + Loan Pipeline'!E58</f>
        <v>0</v>
      </c>
      <c r="D61" s="312">
        <f>'Existing Loans + Loan Pipeline'!C58</f>
        <v>0</v>
      </c>
      <c r="E61" s="323">
        <f t="shared" si="7"/>
        <v>5</v>
      </c>
      <c r="F61" s="316">
        <f t="shared" si="16"/>
        <v>0</v>
      </c>
      <c r="G61" s="316">
        <f t="shared" si="16"/>
        <v>0</v>
      </c>
      <c r="H61" s="316">
        <f t="shared" si="16"/>
        <v>0</v>
      </c>
      <c r="I61" s="316">
        <f t="shared" si="16"/>
        <v>0</v>
      </c>
      <c r="J61" s="316">
        <f t="shared" si="16"/>
        <v>0</v>
      </c>
      <c r="K61" s="316">
        <f t="shared" si="16"/>
        <v>0</v>
      </c>
      <c r="L61" s="316">
        <f t="shared" si="16"/>
        <v>0</v>
      </c>
      <c r="M61" s="316">
        <f t="shared" si="16"/>
        <v>0</v>
      </c>
      <c r="N61" s="316">
        <f t="shared" si="16"/>
        <v>0</v>
      </c>
      <c r="O61" s="316">
        <f t="shared" si="16"/>
        <v>0</v>
      </c>
      <c r="P61" s="316">
        <f t="shared" si="16"/>
        <v>0</v>
      </c>
      <c r="Q61" s="316">
        <f t="shared" si="16"/>
        <v>0</v>
      </c>
      <c r="R61" s="316">
        <f t="shared" si="16"/>
        <v>0</v>
      </c>
      <c r="S61" s="316">
        <f t="shared" si="16"/>
        <v>0</v>
      </c>
      <c r="T61" s="316">
        <f t="shared" si="16"/>
        <v>0</v>
      </c>
      <c r="U61" s="316">
        <f t="shared" si="16"/>
        <v>0</v>
      </c>
      <c r="V61" s="316">
        <f t="shared" si="17"/>
        <v>0</v>
      </c>
      <c r="W61" s="316">
        <f t="shared" si="17"/>
        <v>0</v>
      </c>
      <c r="X61" s="316">
        <f t="shared" si="17"/>
        <v>0</v>
      </c>
      <c r="Y61" s="316">
        <f t="shared" si="17"/>
        <v>0</v>
      </c>
      <c r="Z61" s="316">
        <f t="shared" si="17"/>
        <v>0</v>
      </c>
      <c r="AA61" s="316">
        <f t="shared" si="17"/>
        <v>0</v>
      </c>
      <c r="AB61" s="316">
        <f t="shared" si="17"/>
        <v>0</v>
      </c>
      <c r="AC61" s="316">
        <f t="shared" si="17"/>
        <v>0</v>
      </c>
      <c r="AD61" s="316">
        <f t="shared" si="17"/>
        <v>0</v>
      </c>
      <c r="AE61" s="316">
        <f t="shared" si="17"/>
        <v>0</v>
      </c>
      <c r="AF61" s="316">
        <f t="shared" si="17"/>
        <v>0</v>
      </c>
      <c r="AG61" s="316">
        <f t="shared" si="17"/>
        <v>0</v>
      </c>
      <c r="AH61" s="316">
        <f t="shared" si="17"/>
        <v>0</v>
      </c>
      <c r="AI61" s="316">
        <f t="shared" si="17"/>
        <v>0</v>
      </c>
      <c r="AJ61" s="316">
        <f t="shared" si="18"/>
        <v>0</v>
      </c>
      <c r="AK61" s="316">
        <f t="shared" si="18"/>
        <v>0</v>
      </c>
      <c r="AL61" s="316">
        <f t="shared" si="18"/>
        <v>0</v>
      </c>
      <c r="AM61" s="316">
        <f t="shared" si="18"/>
        <v>0</v>
      </c>
      <c r="AN61" s="316">
        <f t="shared" si="18"/>
        <v>0</v>
      </c>
      <c r="AO61" s="316">
        <f t="shared" si="18"/>
        <v>0</v>
      </c>
      <c r="AP61" s="316">
        <f t="shared" si="18"/>
        <v>0</v>
      </c>
      <c r="AQ61" s="316">
        <f t="shared" si="18"/>
        <v>0</v>
      </c>
    </row>
    <row r="62" spans="1:44" s="144" customFormat="1" ht="13.35" hidden="1" customHeight="1" outlineLevel="1">
      <c r="A62" s="124"/>
      <c r="B62" s="577" t="str">
        <f>'Existing Loans + Loan Pipeline'!$B59</f>
        <v>[OTHER] FOR FUTURE INTERNAL BUDGETING PURPOSES</v>
      </c>
      <c r="C62" s="143">
        <f>'Existing Loans + Loan Pipeline'!E59</f>
        <v>0</v>
      </c>
      <c r="D62" s="312">
        <f>'Existing Loans + Loan Pipeline'!C59</f>
        <v>0</v>
      </c>
      <c r="E62" s="323">
        <f t="shared" si="7"/>
        <v>5</v>
      </c>
      <c r="F62" s="316">
        <f t="shared" si="16"/>
        <v>0</v>
      </c>
      <c r="G62" s="316">
        <f t="shared" si="16"/>
        <v>0</v>
      </c>
      <c r="H62" s="316">
        <f t="shared" si="16"/>
        <v>0</v>
      </c>
      <c r="I62" s="316">
        <f t="shared" si="16"/>
        <v>0</v>
      </c>
      <c r="J62" s="316">
        <f t="shared" si="16"/>
        <v>0</v>
      </c>
      <c r="K62" s="316">
        <f t="shared" si="16"/>
        <v>0</v>
      </c>
      <c r="L62" s="316">
        <f t="shared" si="16"/>
        <v>0</v>
      </c>
      <c r="M62" s="316">
        <f t="shared" si="16"/>
        <v>0</v>
      </c>
      <c r="N62" s="316">
        <f t="shared" si="16"/>
        <v>0</v>
      </c>
      <c r="O62" s="316">
        <f t="shared" si="16"/>
        <v>0</v>
      </c>
      <c r="P62" s="316">
        <f t="shared" si="16"/>
        <v>0</v>
      </c>
      <c r="Q62" s="316">
        <f t="shared" si="16"/>
        <v>0</v>
      </c>
      <c r="R62" s="316">
        <f t="shared" si="16"/>
        <v>0</v>
      </c>
      <c r="S62" s="316">
        <f t="shared" si="16"/>
        <v>0</v>
      </c>
      <c r="T62" s="316">
        <f t="shared" si="16"/>
        <v>0</v>
      </c>
      <c r="U62" s="316">
        <f t="shared" si="16"/>
        <v>0</v>
      </c>
      <c r="V62" s="316">
        <f t="shared" si="17"/>
        <v>0</v>
      </c>
      <c r="W62" s="316">
        <f t="shared" si="17"/>
        <v>0</v>
      </c>
      <c r="X62" s="316">
        <f t="shared" si="17"/>
        <v>0</v>
      </c>
      <c r="Y62" s="316">
        <f t="shared" si="17"/>
        <v>0</v>
      </c>
      <c r="Z62" s="316">
        <f t="shared" si="17"/>
        <v>0</v>
      </c>
      <c r="AA62" s="316">
        <f t="shared" si="17"/>
        <v>0</v>
      </c>
      <c r="AB62" s="316">
        <f t="shared" si="17"/>
        <v>0</v>
      </c>
      <c r="AC62" s="316">
        <f t="shared" si="17"/>
        <v>0</v>
      </c>
      <c r="AD62" s="316">
        <f t="shared" si="17"/>
        <v>0</v>
      </c>
      <c r="AE62" s="316">
        <f t="shared" si="17"/>
        <v>0</v>
      </c>
      <c r="AF62" s="316">
        <f t="shared" si="17"/>
        <v>0</v>
      </c>
      <c r="AG62" s="316">
        <f t="shared" si="17"/>
        <v>0</v>
      </c>
      <c r="AH62" s="316">
        <f t="shared" si="17"/>
        <v>0</v>
      </c>
      <c r="AI62" s="316">
        <f t="shared" si="17"/>
        <v>0</v>
      </c>
      <c r="AJ62" s="316">
        <f t="shared" si="18"/>
        <v>0</v>
      </c>
      <c r="AK62" s="316">
        <f t="shared" si="18"/>
        <v>0</v>
      </c>
      <c r="AL62" s="316">
        <f t="shared" si="18"/>
        <v>0</v>
      </c>
      <c r="AM62" s="316">
        <f t="shared" si="18"/>
        <v>0</v>
      </c>
      <c r="AN62" s="316">
        <f t="shared" si="18"/>
        <v>0</v>
      </c>
      <c r="AO62" s="316">
        <f t="shared" si="18"/>
        <v>0</v>
      </c>
      <c r="AP62" s="316">
        <f t="shared" si="18"/>
        <v>0</v>
      </c>
      <c r="AQ62" s="316">
        <f t="shared" si="18"/>
        <v>0</v>
      </c>
    </row>
    <row r="63" spans="1:44" s="144" customFormat="1" ht="13.35" hidden="1" customHeight="1" outlineLevel="1">
      <c r="A63" s="124"/>
      <c r="B63" s="577" t="str">
        <f>'Existing Loans + Loan Pipeline'!$B60</f>
        <v>[OTHER] FOR FUTURE INTERNAL BUDGETING PURPOSES</v>
      </c>
      <c r="C63" s="143">
        <f>'Existing Loans + Loan Pipeline'!E60</f>
        <v>0</v>
      </c>
      <c r="D63" s="312">
        <f>'Existing Loans + Loan Pipeline'!C60</f>
        <v>0</v>
      </c>
      <c r="E63" s="323">
        <f t="shared" si="7"/>
        <v>5</v>
      </c>
      <c r="F63" s="316">
        <f t="shared" si="16"/>
        <v>0</v>
      </c>
      <c r="G63" s="316">
        <f t="shared" si="16"/>
        <v>0</v>
      </c>
      <c r="H63" s="316">
        <f t="shared" si="16"/>
        <v>0</v>
      </c>
      <c r="I63" s="316">
        <f t="shared" si="16"/>
        <v>0</v>
      </c>
      <c r="J63" s="316">
        <f t="shared" si="16"/>
        <v>0</v>
      </c>
      <c r="K63" s="316">
        <f t="shared" si="16"/>
        <v>0</v>
      </c>
      <c r="L63" s="316">
        <f t="shared" si="16"/>
        <v>0</v>
      </c>
      <c r="M63" s="316">
        <f t="shared" si="16"/>
        <v>0</v>
      </c>
      <c r="N63" s="316">
        <f t="shared" si="16"/>
        <v>0</v>
      </c>
      <c r="O63" s="316">
        <f t="shared" si="16"/>
        <v>0</v>
      </c>
      <c r="P63" s="316">
        <f t="shared" si="16"/>
        <v>0</v>
      </c>
      <c r="Q63" s="316">
        <f t="shared" si="16"/>
        <v>0</v>
      </c>
      <c r="R63" s="316">
        <f t="shared" si="16"/>
        <v>0</v>
      </c>
      <c r="S63" s="316">
        <f t="shared" si="16"/>
        <v>0</v>
      </c>
      <c r="T63" s="316">
        <f t="shared" si="16"/>
        <v>0</v>
      </c>
      <c r="U63" s="316">
        <f t="shared" si="16"/>
        <v>0</v>
      </c>
      <c r="V63" s="316">
        <f t="shared" si="17"/>
        <v>0</v>
      </c>
      <c r="W63" s="316">
        <f t="shared" si="17"/>
        <v>0</v>
      </c>
      <c r="X63" s="316">
        <f t="shared" si="17"/>
        <v>0</v>
      </c>
      <c r="Y63" s="316">
        <f t="shared" si="17"/>
        <v>0</v>
      </c>
      <c r="Z63" s="316">
        <f t="shared" si="17"/>
        <v>0</v>
      </c>
      <c r="AA63" s="316">
        <f t="shared" si="17"/>
        <v>0</v>
      </c>
      <c r="AB63" s="316">
        <f t="shared" si="17"/>
        <v>0</v>
      </c>
      <c r="AC63" s="316">
        <f t="shared" si="17"/>
        <v>0</v>
      </c>
      <c r="AD63" s="316">
        <f t="shared" si="17"/>
        <v>0</v>
      </c>
      <c r="AE63" s="316">
        <f t="shared" si="17"/>
        <v>0</v>
      </c>
      <c r="AF63" s="316">
        <f t="shared" si="17"/>
        <v>0</v>
      </c>
      <c r="AG63" s="316">
        <f t="shared" si="17"/>
        <v>0</v>
      </c>
      <c r="AH63" s="316">
        <f t="shared" si="17"/>
        <v>0</v>
      </c>
      <c r="AI63" s="316">
        <f t="shared" si="17"/>
        <v>0</v>
      </c>
      <c r="AJ63" s="316">
        <f t="shared" si="18"/>
        <v>0</v>
      </c>
      <c r="AK63" s="316">
        <f t="shared" si="18"/>
        <v>0</v>
      </c>
      <c r="AL63" s="316">
        <f t="shared" si="18"/>
        <v>0</v>
      </c>
      <c r="AM63" s="316">
        <f t="shared" si="18"/>
        <v>0</v>
      </c>
      <c r="AN63" s="316">
        <f t="shared" si="18"/>
        <v>0</v>
      </c>
      <c r="AO63" s="316">
        <f t="shared" si="18"/>
        <v>0</v>
      </c>
      <c r="AP63" s="316">
        <f t="shared" si="18"/>
        <v>0</v>
      </c>
      <c r="AQ63" s="316">
        <f t="shared" si="18"/>
        <v>0</v>
      </c>
    </row>
    <row r="64" spans="1:44" s="144" customFormat="1" ht="13.35" hidden="1" customHeight="1" outlineLevel="1">
      <c r="A64" s="124"/>
      <c r="B64" s="577" t="str">
        <f>'Existing Loans + Loan Pipeline'!$B61</f>
        <v>[OTHER] FOR FUTURE INTERNAL BUDGETING PURPOSES</v>
      </c>
      <c r="C64" s="143">
        <f>'Existing Loans + Loan Pipeline'!E61</f>
        <v>0</v>
      </c>
      <c r="D64" s="312">
        <f>'Existing Loans + Loan Pipeline'!C61</f>
        <v>0</v>
      </c>
      <c r="E64" s="323">
        <f t="shared" si="7"/>
        <v>5</v>
      </c>
      <c r="F64" s="316">
        <f t="shared" si="16"/>
        <v>0</v>
      </c>
      <c r="G64" s="316">
        <f t="shared" si="16"/>
        <v>0</v>
      </c>
      <c r="H64" s="316">
        <f t="shared" si="16"/>
        <v>0</v>
      </c>
      <c r="I64" s="316">
        <f t="shared" si="16"/>
        <v>0</v>
      </c>
      <c r="J64" s="316">
        <f t="shared" si="16"/>
        <v>0</v>
      </c>
      <c r="K64" s="316">
        <f t="shared" si="16"/>
        <v>0</v>
      </c>
      <c r="L64" s="316">
        <f t="shared" si="16"/>
        <v>0</v>
      </c>
      <c r="M64" s="316">
        <f t="shared" si="16"/>
        <v>0</v>
      </c>
      <c r="N64" s="316">
        <f t="shared" si="16"/>
        <v>0</v>
      </c>
      <c r="O64" s="316">
        <f t="shared" si="16"/>
        <v>0</v>
      </c>
      <c r="P64" s="316">
        <f t="shared" si="16"/>
        <v>0</v>
      </c>
      <c r="Q64" s="316">
        <f t="shared" si="16"/>
        <v>0</v>
      </c>
      <c r="R64" s="316">
        <f t="shared" si="16"/>
        <v>0</v>
      </c>
      <c r="S64" s="316">
        <f t="shared" si="16"/>
        <v>0</v>
      </c>
      <c r="T64" s="316">
        <f t="shared" si="16"/>
        <v>0</v>
      </c>
      <c r="U64" s="316">
        <f t="shared" si="16"/>
        <v>0</v>
      </c>
      <c r="V64" s="316">
        <f t="shared" si="17"/>
        <v>0</v>
      </c>
      <c r="W64" s="316">
        <f t="shared" si="17"/>
        <v>0</v>
      </c>
      <c r="X64" s="316">
        <f t="shared" si="17"/>
        <v>0</v>
      </c>
      <c r="Y64" s="316">
        <f t="shared" si="17"/>
        <v>0</v>
      </c>
      <c r="Z64" s="316">
        <f t="shared" si="17"/>
        <v>0</v>
      </c>
      <c r="AA64" s="316">
        <f t="shared" si="17"/>
        <v>0</v>
      </c>
      <c r="AB64" s="316">
        <f t="shared" si="17"/>
        <v>0</v>
      </c>
      <c r="AC64" s="316">
        <f t="shared" si="17"/>
        <v>0</v>
      </c>
      <c r="AD64" s="316">
        <f t="shared" si="17"/>
        <v>0</v>
      </c>
      <c r="AE64" s="316">
        <f t="shared" si="17"/>
        <v>0</v>
      </c>
      <c r="AF64" s="316">
        <f t="shared" si="17"/>
        <v>0</v>
      </c>
      <c r="AG64" s="316">
        <f t="shared" si="17"/>
        <v>0</v>
      </c>
      <c r="AH64" s="316">
        <f t="shared" si="17"/>
        <v>0</v>
      </c>
      <c r="AI64" s="316">
        <f t="shared" si="17"/>
        <v>0</v>
      </c>
      <c r="AJ64" s="316">
        <f t="shared" si="18"/>
        <v>0</v>
      </c>
      <c r="AK64" s="316">
        <f t="shared" si="18"/>
        <v>0</v>
      </c>
      <c r="AL64" s="316">
        <f t="shared" si="18"/>
        <v>0</v>
      </c>
      <c r="AM64" s="316">
        <f t="shared" si="18"/>
        <v>0</v>
      </c>
      <c r="AN64" s="316">
        <f t="shared" si="18"/>
        <v>0</v>
      </c>
      <c r="AO64" s="316">
        <f t="shared" si="18"/>
        <v>0</v>
      </c>
      <c r="AP64" s="316">
        <f t="shared" si="18"/>
        <v>0</v>
      </c>
      <c r="AQ64" s="316">
        <f t="shared" si="18"/>
        <v>0</v>
      </c>
    </row>
    <row r="65" spans="1:43" s="144" customFormat="1" ht="13.35" hidden="1" customHeight="1" outlineLevel="1">
      <c r="A65" s="124"/>
      <c r="B65" s="577" t="str">
        <f>'Existing Loans + Loan Pipeline'!$B62</f>
        <v>[OTHER] FOR FUTURE INTERNAL BUDGETING PURPOSES</v>
      </c>
      <c r="C65" s="143">
        <f>'Existing Loans + Loan Pipeline'!E62</f>
        <v>0</v>
      </c>
      <c r="D65" s="312">
        <f>'Existing Loans + Loan Pipeline'!C62</f>
        <v>0</v>
      </c>
      <c r="E65" s="323">
        <f t="shared" si="7"/>
        <v>5</v>
      </c>
      <c r="F65" s="316">
        <f t="shared" si="16"/>
        <v>0</v>
      </c>
      <c r="G65" s="316">
        <f t="shared" si="16"/>
        <v>0</v>
      </c>
      <c r="H65" s="316">
        <f t="shared" si="16"/>
        <v>0</v>
      </c>
      <c r="I65" s="316">
        <f t="shared" si="16"/>
        <v>0</v>
      </c>
      <c r="J65" s="316">
        <f t="shared" si="16"/>
        <v>0</v>
      </c>
      <c r="K65" s="316">
        <f t="shared" si="16"/>
        <v>0</v>
      </c>
      <c r="L65" s="316">
        <f t="shared" si="16"/>
        <v>0</v>
      </c>
      <c r="M65" s="316">
        <f t="shared" si="16"/>
        <v>0</v>
      </c>
      <c r="N65" s="316">
        <f t="shared" si="16"/>
        <v>0</v>
      </c>
      <c r="O65" s="316">
        <f t="shared" si="16"/>
        <v>0</v>
      </c>
      <c r="P65" s="316">
        <f t="shared" si="16"/>
        <v>0</v>
      </c>
      <c r="Q65" s="316">
        <f t="shared" si="16"/>
        <v>0</v>
      </c>
      <c r="R65" s="316">
        <f t="shared" si="16"/>
        <v>0</v>
      </c>
      <c r="S65" s="316">
        <f t="shared" si="16"/>
        <v>0</v>
      </c>
      <c r="T65" s="316">
        <f t="shared" si="16"/>
        <v>0</v>
      </c>
      <c r="U65" s="316">
        <f t="shared" si="16"/>
        <v>0</v>
      </c>
      <c r="V65" s="316">
        <f t="shared" si="17"/>
        <v>0</v>
      </c>
      <c r="W65" s="316">
        <f t="shared" si="17"/>
        <v>0</v>
      </c>
      <c r="X65" s="316">
        <f t="shared" si="17"/>
        <v>0</v>
      </c>
      <c r="Y65" s="316">
        <f t="shared" si="17"/>
        <v>0</v>
      </c>
      <c r="Z65" s="316">
        <f t="shared" si="17"/>
        <v>0</v>
      </c>
      <c r="AA65" s="316">
        <f t="shared" si="17"/>
        <v>0</v>
      </c>
      <c r="AB65" s="316">
        <f t="shared" si="17"/>
        <v>0</v>
      </c>
      <c r="AC65" s="316">
        <f t="shared" si="17"/>
        <v>0</v>
      </c>
      <c r="AD65" s="316">
        <f t="shared" si="17"/>
        <v>0</v>
      </c>
      <c r="AE65" s="316">
        <f t="shared" si="17"/>
        <v>0</v>
      </c>
      <c r="AF65" s="316">
        <f t="shared" si="17"/>
        <v>0</v>
      </c>
      <c r="AG65" s="316">
        <f t="shared" si="17"/>
        <v>0</v>
      </c>
      <c r="AH65" s="316">
        <f t="shared" si="17"/>
        <v>0</v>
      </c>
      <c r="AI65" s="316">
        <f t="shared" si="17"/>
        <v>0</v>
      </c>
      <c r="AJ65" s="316">
        <f t="shared" si="18"/>
        <v>0</v>
      </c>
      <c r="AK65" s="316">
        <f t="shared" si="18"/>
        <v>0</v>
      </c>
      <c r="AL65" s="316">
        <f t="shared" si="18"/>
        <v>0</v>
      </c>
      <c r="AM65" s="316">
        <f t="shared" si="18"/>
        <v>0</v>
      </c>
      <c r="AN65" s="316">
        <f t="shared" si="18"/>
        <v>0</v>
      </c>
      <c r="AO65" s="316">
        <f t="shared" si="18"/>
        <v>0</v>
      </c>
      <c r="AP65" s="316">
        <f t="shared" si="18"/>
        <v>0</v>
      </c>
      <c r="AQ65" s="316">
        <f t="shared" si="18"/>
        <v>0</v>
      </c>
    </row>
    <row r="66" spans="1:43" s="144" customFormat="1" ht="13.35" hidden="1" customHeight="1" outlineLevel="1">
      <c r="A66" s="124"/>
      <c r="B66" s="577" t="str">
        <f>'Existing Loans + Loan Pipeline'!$B63</f>
        <v>[OTHER] FOR FUTURE INTERNAL BUDGETING PURPOSES</v>
      </c>
      <c r="C66" s="143">
        <f>'Existing Loans + Loan Pipeline'!E63</f>
        <v>0</v>
      </c>
      <c r="D66" s="312">
        <f>'Existing Loans + Loan Pipeline'!C63</f>
        <v>0</v>
      </c>
      <c r="E66" s="323">
        <f t="shared" si="7"/>
        <v>5</v>
      </c>
      <c r="F66" s="316">
        <f t="shared" si="16"/>
        <v>0</v>
      </c>
      <c r="G66" s="316">
        <f t="shared" si="16"/>
        <v>0</v>
      </c>
      <c r="H66" s="316">
        <f t="shared" si="16"/>
        <v>0</v>
      </c>
      <c r="I66" s="316">
        <f t="shared" si="16"/>
        <v>0</v>
      </c>
      <c r="J66" s="316">
        <f t="shared" si="16"/>
        <v>0</v>
      </c>
      <c r="K66" s="316">
        <f t="shared" si="16"/>
        <v>0</v>
      </c>
      <c r="L66" s="316">
        <f t="shared" si="16"/>
        <v>0</v>
      </c>
      <c r="M66" s="316">
        <f t="shared" si="16"/>
        <v>0</v>
      </c>
      <c r="N66" s="316">
        <f t="shared" si="16"/>
        <v>0</v>
      </c>
      <c r="O66" s="316">
        <f t="shared" si="16"/>
        <v>0</v>
      </c>
      <c r="P66" s="316">
        <f t="shared" si="16"/>
        <v>0</v>
      </c>
      <c r="Q66" s="316">
        <f t="shared" si="16"/>
        <v>0</v>
      </c>
      <c r="R66" s="316">
        <f t="shared" si="16"/>
        <v>0</v>
      </c>
      <c r="S66" s="316">
        <f t="shared" si="16"/>
        <v>0</v>
      </c>
      <c r="T66" s="316">
        <f t="shared" si="16"/>
        <v>0</v>
      </c>
      <c r="U66" s="316">
        <f t="shared" si="16"/>
        <v>0</v>
      </c>
      <c r="V66" s="316">
        <f t="shared" si="17"/>
        <v>0</v>
      </c>
      <c r="W66" s="316">
        <f t="shared" si="17"/>
        <v>0</v>
      </c>
      <c r="X66" s="316">
        <f t="shared" si="17"/>
        <v>0</v>
      </c>
      <c r="Y66" s="316">
        <f t="shared" si="17"/>
        <v>0</v>
      </c>
      <c r="Z66" s="316">
        <f t="shared" si="17"/>
        <v>0</v>
      </c>
      <c r="AA66" s="316">
        <f t="shared" si="17"/>
        <v>0</v>
      </c>
      <c r="AB66" s="316">
        <f t="shared" si="17"/>
        <v>0</v>
      </c>
      <c r="AC66" s="316">
        <f t="shared" si="17"/>
        <v>0</v>
      </c>
      <c r="AD66" s="316">
        <f t="shared" si="17"/>
        <v>0</v>
      </c>
      <c r="AE66" s="316">
        <f t="shared" si="17"/>
        <v>0</v>
      </c>
      <c r="AF66" s="316">
        <f t="shared" si="17"/>
        <v>0</v>
      </c>
      <c r="AG66" s="316">
        <f t="shared" si="17"/>
        <v>0</v>
      </c>
      <c r="AH66" s="316">
        <f t="shared" si="17"/>
        <v>0</v>
      </c>
      <c r="AI66" s="316">
        <f t="shared" si="17"/>
        <v>0</v>
      </c>
      <c r="AJ66" s="316">
        <f t="shared" si="18"/>
        <v>0</v>
      </c>
      <c r="AK66" s="316">
        <f t="shared" si="18"/>
        <v>0</v>
      </c>
      <c r="AL66" s="316">
        <f t="shared" si="18"/>
        <v>0</v>
      </c>
      <c r="AM66" s="316">
        <f t="shared" si="18"/>
        <v>0</v>
      </c>
      <c r="AN66" s="316">
        <f t="shared" si="18"/>
        <v>0</v>
      </c>
      <c r="AO66" s="316">
        <f t="shared" si="18"/>
        <v>0</v>
      </c>
      <c r="AP66" s="316">
        <f t="shared" si="18"/>
        <v>0</v>
      </c>
      <c r="AQ66" s="316">
        <f t="shared" si="18"/>
        <v>0</v>
      </c>
    </row>
    <row r="67" spans="1:43" s="144" customFormat="1" ht="13.35" hidden="1" customHeight="1" outlineLevel="1">
      <c r="A67" s="124"/>
      <c r="B67" s="577" t="str">
        <f>'Existing Loans + Loan Pipeline'!$B64</f>
        <v>[OTHER] FOR FUTURE INTERNAL BUDGETING PURPOSES</v>
      </c>
      <c r="C67" s="143">
        <f>'Existing Loans + Loan Pipeline'!E64</f>
        <v>0</v>
      </c>
      <c r="D67" s="312">
        <f>'Existing Loans + Loan Pipeline'!C64</f>
        <v>0</v>
      </c>
      <c r="E67" s="323">
        <f t="shared" si="7"/>
        <v>5</v>
      </c>
      <c r="F67" s="316">
        <f t="shared" si="16"/>
        <v>0</v>
      </c>
      <c r="G67" s="316">
        <f t="shared" si="16"/>
        <v>0</v>
      </c>
      <c r="H67" s="316">
        <f t="shared" si="16"/>
        <v>0</v>
      </c>
      <c r="I67" s="316">
        <f t="shared" si="16"/>
        <v>0</v>
      </c>
      <c r="J67" s="316">
        <f t="shared" si="16"/>
        <v>0</v>
      </c>
      <c r="K67" s="316">
        <f t="shared" si="16"/>
        <v>0</v>
      </c>
      <c r="L67" s="316">
        <f t="shared" si="16"/>
        <v>0</v>
      </c>
      <c r="M67" s="316">
        <f t="shared" si="16"/>
        <v>0</v>
      </c>
      <c r="N67" s="316">
        <f t="shared" si="16"/>
        <v>0</v>
      </c>
      <c r="O67" s="316">
        <f t="shared" si="16"/>
        <v>0</v>
      </c>
      <c r="P67" s="316">
        <f t="shared" si="16"/>
        <v>0</v>
      </c>
      <c r="Q67" s="316">
        <f t="shared" si="16"/>
        <v>0</v>
      </c>
      <c r="R67" s="316">
        <f t="shared" si="16"/>
        <v>0</v>
      </c>
      <c r="S67" s="316">
        <f t="shared" si="16"/>
        <v>0</v>
      </c>
      <c r="T67" s="316">
        <f t="shared" si="16"/>
        <v>0</v>
      </c>
      <c r="U67" s="316">
        <f t="shared" ref="P67:Y72" si="19">IF($D67=U$5,$C67,0)</f>
        <v>0</v>
      </c>
      <c r="V67" s="316">
        <f t="shared" si="19"/>
        <v>0</v>
      </c>
      <c r="W67" s="316">
        <f t="shared" si="19"/>
        <v>0</v>
      </c>
      <c r="X67" s="316">
        <f t="shared" si="19"/>
        <v>0</v>
      </c>
      <c r="Y67" s="316">
        <f t="shared" si="19"/>
        <v>0</v>
      </c>
      <c r="Z67" s="316">
        <f t="shared" si="17"/>
        <v>0</v>
      </c>
      <c r="AA67" s="316">
        <f t="shared" si="17"/>
        <v>0</v>
      </c>
      <c r="AB67" s="316">
        <f t="shared" si="17"/>
        <v>0</v>
      </c>
      <c r="AC67" s="316">
        <f t="shared" si="17"/>
        <v>0</v>
      </c>
      <c r="AD67" s="316">
        <f t="shared" si="17"/>
        <v>0</v>
      </c>
      <c r="AE67" s="316">
        <f t="shared" si="17"/>
        <v>0</v>
      </c>
      <c r="AF67" s="316">
        <f t="shared" si="17"/>
        <v>0</v>
      </c>
      <c r="AG67" s="316">
        <f t="shared" si="17"/>
        <v>0</v>
      </c>
      <c r="AH67" s="316">
        <f t="shared" si="17"/>
        <v>0</v>
      </c>
      <c r="AI67" s="316">
        <f t="shared" si="17"/>
        <v>0</v>
      </c>
      <c r="AJ67" s="316">
        <f t="shared" si="18"/>
        <v>0</v>
      </c>
      <c r="AK67" s="316">
        <f t="shared" si="18"/>
        <v>0</v>
      </c>
      <c r="AL67" s="316">
        <f t="shared" si="18"/>
        <v>0</v>
      </c>
      <c r="AM67" s="316">
        <f t="shared" si="18"/>
        <v>0</v>
      </c>
      <c r="AN67" s="316">
        <f t="shared" si="18"/>
        <v>0</v>
      </c>
      <c r="AO67" s="316">
        <f t="shared" si="18"/>
        <v>0</v>
      </c>
      <c r="AP67" s="316">
        <f t="shared" si="18"/>
        <v>0</v>
      </c>
      <c r="AQ67" s="316">
        <f t="shared" si="18"/>
        <v>0</v>
      </c>
    </row>
    <row r="68" spans="1:43" s="144" customFormat="1" ht="13.35" hidden="1" customHeight="1" outlineLevel="1">
      <c r="A68" s="124"/>
      <c r="B68" s="577" t="str">
        <f>'Existing Loans + Loan Pipeline'!$B65</f>
        <v>[OTHER] FOR FUTURE INTERNAL BUDGETING PURPOSES</v>
      </c>
      <c r="C68" s="143">
        <f>'Existing Loans + Loan Pipeline'!E65</f>
        <v>0</v>
      </c>
      <c r="D68" s="312">
        <f>'Existing Loans + Loan Pipeline'!C65</f>
        <v>0</v>
      </c>
      <c r="E68" s="323">
        <f t="shared" si="7"/>
        <v>5</v>
      </c>
      <c r="F68" s="316">
        <f t="shared" ref="F68:O72" si="20">IF($D68=F$5,$C68,0)</f>
        <v>0</v>
      </c>
      <c r="G68" s="316">
        <f t="shared" si="20"/>
        <v>0</v>
      </c>
      <c r="H68" s="316">
        <f t="shared" si="20"/>
        <v>0</v>
      </c>
      <c r="I68" s="316">
        <f t="shared" si="20"/>
        <v>0</v>
      </c>
      <c r="J68" s="316">
        <f t="shared" si="20"/>
        <v>0</v>
      </c>
      <c r="K68" s="316">
        <f t="shared" si="20"/>
        <v>0</v>
      </c>
      <c r="L68" s="316">
        <f t="shared" si="20"/>
        <v>0</v>
      </c>
      <c r="M68" s="316">
        <f t="shared" si="20"/>
        <v>0</v>
      </c>
      <c r="N68" s="316">
        <f t="shared" si="20"/>
        <v>0</v>
      </c>
      <c r="O68" s="316">
        <f t="shared" si="20"/>
        <v>0</v>
      </c>
      <c r="P68" s="316">
        <f t="shared" si="19"/>
        <v>0</v>
      </c>
      <c r="Q68" s="316">
        <f t="shared" si="19"/>
        <v>0</v>
      </c>
      <c r="R68" s="316">
        <f t="shared" si="19"/>
        <v>0</v>
      </c>
      <c r="S68" s="316">
        <f t="shared" si="19"/>
        <v>0</v>
      </c>
      <c r="T68" s="316">
        <f t="shared" si="19"/>
        <v>0</v>
      </c>
      <c r="U68" s="316">
        <f t="shared" si="19"/>
        <v>0</v>
      </c>
      <c r="V68" s="316">
        <f t="shared" si="19"/>
        <v>0</v>
      </c>
      <c r="W68" s="316">
        <f t="shared" si="19"/>
        <v>0</v>
      </c>
      <c r="X68" s="316">
        <f t="shared" si="19"/>
        <v>0</v>
      </c>
      <c r="Y68" s="316">
        <f t="shared" si="19"/>
        <v>0</v>
      </c>
      <c r="Z68" s="316">
        <f t="shared" si="17"/>
        <v>0</v>
      </c>
      <c r="AA68" s="316">
        <f t="shared" si="17"/>
        <v>0</v>
      </c>
      <c r="AB68" s="316">
        <f t="shared" si="17"/>
        <v>0</v>
      </c>
      <c r="AC68" s="316">
        <f t="shared" si="17"/>
        <v>0</v>
      </c>
      <c r="AD68" s="316">
        <f t="shared" si="17"/>
        <v>0</v>
      </c>
      <c r="AE68" s="316">
        <f t="shared" si="17"/>
        <v>0</v>
      </c>
      <c r="AF68" s="316">
        <f t="shared" si="17"/>
        <v>0</v>
      </c>
      <c r="AG68" s="316">
        <f t="shared" si="17"/>
        <v>0</v>
      </c>
      <c r="AH68" s="316">
        <f t="shared" si="17"/>
        <v>0</v>
      </c>
      <c r="AI68" s="316">
        <f t="shared" si="17"/>
        <v>0</v>
      </c>
      <c r="AJ68" s="316">
        <f t="shared" si="18"/>
        <v>0</v>
      </c>
      <c r="AK68" s="316">
        <f t="shared" si="18"/>
        <v>0</v>
      </c>
      <c r="AL68" s="316">
        <f t="shared" si="18"/>
        <v>0</v>
      </c>
      <c r="AM68" s="316">
        <f t="shared" si="18"/>
        <v>0</v>
      </c>
      <c r="AN68" s="316">
        <f t="shared" si="18"/>
        <v>0</v>
      </c>
      <c r="AO68" s="316">
        <f t="shared" si="18"/>
        <v>0</v>
      </c>
      <c r="AP68" s="316">
        <f t="shared" si="18"/>
        <v>0</v>
      </c>
      <c r="AQ68" s="316">
        <f t="shared" si="18"/>
        <v>0</v>
      </c>
    </row>
    <row r="69" spans="1:43" s="144" customFormat="1" ht="13.35" hidden="1" customHeight="1" outlineLevel="1">
      <c r="A69" s="124"/>
      <c r="B69" s="577" t="str">
        <f>'Existing Loans + Loan Pipeline'!$B66</f>
        <v>[OTHER] FOR FUTURE INTERNAL BUDGETING PURPOSES</v>
      </c>
      <c r="C69" s="143">
        <f>'Existing Loans + Loan Pipeline'!E66</f>
        <v>0</v>
      </c>
      <c r="D69" s="312">
        <f>'Existing Loans + Loan Pipeline'!C66</f>
        <v>0</v>
      </c>
      <c r="E69" s="323">
        <f t="shared" si="7"/>
        <v>5</v>
      </c>
      <c r="F69" s="316">
        <f t="shared" si="20"/>
        <v>0</v>
      </c>
      <c r="G69" s="316">
        <f t="shared" si="20"/>
        <v>0</v>
      </c>
      <c r="H69" s="316">
        <f t="shared" si="20"/>
        <v>0</v>
      </c>
      <c r="I69" s="316">
        <f t="shared" si="20"/>
        <v>0</v>
      </c>
      <c r="J69" s="316">
        <f t="shared" si="20"/>
        <v>0</v>
      </c>
      <c r="K69" s="316">
        <f t="shared" si="20"/>
        <v>0</v>
      </c>
      <c r="L69" s="316">
        <f t="shared" si="20"/>
        <v>0</v>
      </c>
      <c r="M69" s="316">
        <f t="shared" si="20"/>
        <v>0</v>
      </c>
      <c r="N69" s="316">
        <f t="shared" si="20"/>
        <v>0</v>
      </c>
      <c r="O69" s="316">
        <f t="shared" si="20"/>
        <v>0</v>
      </c>
      <c r="P69" s="316">
        <f t="shared" si="19"/>
        <v>0</v>
      </c>
      <c r="Q69" s="316">
        <f t="shared" si="19"/>
        <v>0</v>
      </c>
      <c r="R69" s="316">
        <f t="shared" si="19"/>
        <v>0</v>
      </c>
      <c r="S69" s="316">
        <f t="shared" si="19"/>
        <v>0</v>
      </c>
      <c r="T69" s="316">
        <f t="shared" si="19"/>
        <v>0</v>
      </c>
      <c r="U69" s="316">
        <f t="shared" si="19"/>
        <v>0</v>
      </c>
      <c r="V69" s="316">
        <f t="shared" si="19"/>
        <v>0</v>
      </c>
      <c r="W69" s="316">
        <f t="shared" si="19"/>
        <v>0</v>
      </c>
      <c r="X69" s="316">
        <f t="shared" si="19"/>
        <v>0</v>
      </c>
      <c r="Y69" s="316">
        <f t="shared" si="19"/>
        <v>0</v>
      </c>
      <c r="Z69" s="316">
        <f t="shared" si="17"/>
        <v>0</v>
      </c>
      <c r="AA69" s="316">
        <f t="shared" si="17"/>
        <v>0</v>
      </c>
      <c r="AB69" s="316">
        <f t="shared" si="17"/>
        <v>0</v>
      </c>
      <c r="AC69" s="316">
        <f t="shared" si="17"/>
        <v>0</v>
      </c>
      <c r="AD69" s="316">
        <f t="shared" si="17"/>
        <v>0</v>
      </c>
      <c r="AE69" s="316">
        <f t="shared" si="17"/>
        <v>0</v>
      </c>
      <c r="AF69" s="316">
        <f t="shared" si="17"/>
        <v>0</v>
      </c>
      <c r="AG69" s="316">
        <f t="shared" si="17"/>
        <v>0</v>
      </c>
      <c r="AH69" s="316">
        <f t="shared" si="17"/>
        <v>0</v>
      </c>
      <c r="AI69" s="316">
        <f t="shared" si="17"/>
        <v>0</v>
      </c>
      <c r="AJ69" s="316">
        <f t="shared" si="18"/>
        <v>0</v>
      </c>
      <c r="AK69" s="316">
        <f t="shared" si="18"/>
        <v>0</v>
      </c>
      <c r="AL69" s="316">
        <f t="shared" si="18"/>
        <v>0</v>
      </c>
      <c r="AM69" s="316">
        <f t="shared" si="18"/>
        <v>0</v>
      </c>
      <c r="AN69" s="316">
        <f t="shared" si="18"/>
        <v>0</v>
      </c>
      <c r="AO69" s="316">
        <f t="shared" si="18"/>
        <v>0</v>
      </c>
      <c r="AP69" s="316">
        <f t="shared" si="18"/>
        <v>0</v>
      </c>
      <c r="AQ69" s="316">
        <f t="shared" si="18"/>
        <v>0</v>
      </c>
    </row>
    <row r="70" spans="1:43" s="144" customFormat="1" ht="13.35" hidden="1" customHeight="1" outlineLevel="1">
      <c r="A70" s="124"/>
      <c r="B70" s="577" t="str">
        <f>'Existing Loans + Loan Pipeline'!$B67</f>
        <v>[OTHER] FOR FUTURE INTERNAL BUDGETING PURPOSES</v>
      </c>
      <c r="C70" s="143">
        <f>'Existing Loans + Loan Pipeline'!E67</f>
        <v>0</v>
      </c>
      <c r="D70" s="312">
        <f>'Existing Loans + Loan Pipeline'!C67</f>
        <v>0</v>
      </c>
      <c r="E70" s="323">
        <f t="shared" si="7"/>
        <v>5</v>
      </c>
      <c r="F70" s="316">
        <f t="shared" si="20"/>
        <v>0</v>
      </c>
      <c r="G70" s="316">
        <f t="shared" si="20"/>
        <v>0</v>
      </c>
      <c r="H70" s="316">
        <f t="shared" si="20"/>
        <v>0</v>
      </c>
      <c r="I70" s="316">
        <f t="shared" si="20"/>
        <v>0</v>
      </c>
      <c r="J70" s="316">
        <f t="shared" si="20"/>
        <v>0</v>
      </c>
      <c r="K70" s="316">
        <f t="shared" si="20"/>
        <v>0</v>
      </c>
      <c r="L70" s="316">
        <f t="shared" si="20"/>
        <v>0</v>
      </c>
      <c r="M70" s="316">
        <f t="shared" si="20"/>
        <v>0</v>
      </c>
      <c r="N70" s="316">
        <f t="shared" si="20"/>
        <v>0</v>
      </c>
      <c r="O70" s="316">
        <f t="shared" si="20"/>
        <v>0</v>
      </c>
      <c r="P70" s="316">
        <f t="shared" si="19"/>
        <v>0</v>
      </c>
      <c r="Q70" s="316">
        <f t="shared" si="19"/>
        <v>0</v>
      </c>
      <c r="R70" s="316">
        <f t="shared" si="19"/>
        <v>0</v>
      </c>
      <c r="S70" s="316">
        <f t="shared" si="19"/>
        <v>0</v>
      </c>
      <c r="T70" s="316">
        <f t="shared" si="19"/>
        <v>0</v>
      </c>
      <c r="U70" s="316">
        <f t="shared" si="19"/>
        <v>0</v>
      </c>
      <c r="V70" s="316">
        <f t="shared" si="19"/>
        <v>0</v>
      </c>
      <c r="W70" s="316">
        <f t="shared" si="19"/>
        <v>0</v>
      </c>
      <c r="X70" s="316">
        <f t="shared" si="19"/>
        <v>0</v>
      </c>
      <c r="Y70" s="316">
        <f t="shared" si="19"/>
        <v>0</v>
      </c>
      <c r="Z70" s="316">
        <f t="shared" si="17"/>
        <v>0</v>
      </c>
      <c r="AA70" s="316">
        <f t="shared" si="17"/>
        <v>0</v>
      </c>
      <c r="AB70" s="316">
        <f t="shared" si="17"/>
        <v>0</v>
      </c>
      <c r="AC70" s="316">
        <f t="shared" si="17"/>
        <v>0</v>
      </c>
      <c r="AD70" s="316">
        <f t="shared" si="17"/>
        <v>0</v>
      </c>
      <c r="AE70" s="316">
        <f t="shared" si="17"/>
        <v>0</v>
      </c>
      <c r="AF70" s="316">
        <f t="shared" si="17"/>
        <v>0</v>
      </c>
      <c r="AG70" s="316">
        <f t="shared" si="17"/>
        <v>0</v>
      </c>
      <c r="AH70" s="316">
        <f t="shared" si="17"/>
        <v>0</v>
      </c>
      <c r="AI70" s="316">
        <f t="shared" si="17"/>
        <v>0</v>
      </c>
      <c r="AJ70" s="316">
        <f t="shared" si="18"/>
        <v>0</v>
      </c>
      <c r="AK70" s="316">
        <f t="shared" si="18"/>
        <v>0</v>
      </c>
      <c r="AL70" s="316">
        <f t="shared" si="18"/>
        <v>0</v>
      </c>
      <c r="AM70" s="316">
        <f t="shared" si="18"/>
        <v>0</v>
      </c>
      <c r="AN70" s="316">
        <f t="shared" si="18"/>
        <v>0</v>
      </c>
      <c r="AO70" s="316">
        <f t="shared" si="18"/>
        <v>0</v>
      </c>
      <c r="AP70" s="316">
        <f t="shared" si="18"/>
        <v>0</v>
      </c>
      <c r="AQ70" s="316">
        <f t="shared" si="18"/>
        <v>0</v>
      </c>
    </row>
    <row r="71" spans="1:43" s="144" customFormat="1" ht="13.35" hidden="1" customHeight="1" outlineLevel="1">
      <c r="A71" s="124"/>
      <c r="B71" s="577" t="str">
        <f>'Existing Loans + Loan Pipeline'!$B68</f>
        <v>[OTHER] FOR FUTURE INTERNAL BUDGETING PURPOSES</v>
      </c>
      <c r="C71" s="143">
        <f>'Existing Loans + Loan Pipeline'!E68</f>
        <v>0</v>
      </c>
      <c r="D71" s="312">
        <f>'Existing Loans + Loan Pipeline'!C68</f>
        <v>0</v>
      </c>
      <c r="E71" s="323">
        <f t="shared" si="7"/>
        <v>5</v>
      </c>
      <c r="F71" s="316">
        <f t="shared" si="20"/>
        <v>0</v>
      </c>
      <c r="G71" s="316">
        <f t="shared" si="20"/>
        <v>0</v>
      </c>
      <c r="H71" s="316">
        <f t="shared" si="20"/>
        <v>0</v>
      </c>
      <c r="I71" s="316">
        <f t="shared" si="20"/>
        <v>0</v>
      </c>
      <c r="J71" s="316">
        <f t="shared" si="20"/>
        <v>0</v>
      </c>
      <c r="K71" s="316">
        <f t="shared" si="20"/>
        <v>0</v>
      </c>
      <c r="L71" s="316">
        <f t="shared" si="20"/>
        <v>0</v>
      </c>
      <c r="M71" s="316">
        <f t="shared" si="20"/>
        <v>0</v>
      </c>
      <c r="N71" s="316">
        <f t="shared" si="20"/>
        <v>0</v>
      </c>
      <c r="O71" s="316">
        <f t="shared" si="20"/>
        <v>0</v>
      </c>
      <c r="P71" s="316">
        <f t="shared" si="19"/>
        <v>0</v>
      </c>
      <c r="Q71" s="316">
        <f t="shared" si="19"/>
        <v>0</v>
      </c>
      <c r="R71" s="316">
        <f t="shared" si="19"/>
        <v>0</v>
      </c>
      <c r="S71" s="316">
        <f t="shared" si="19"/>
        <v>0</v>
      </c>
      <c r="T71" s="316">
        <f t="shared" si="19"/>
        <v>0</v>
      </c>
      <c r="U71" s="316">
        <f t="shared" si="19"/>
        <v>0</v>
      </c>
      <c r="V71" s="316">
        <f t="shared" si="19"/>
        <v>0</v>
      </c>
      <c r="W71" s="316">
        <f t="shared" si="19"/>
        <v>0</v>
      </c>
      <c r="X71" s="316">
        <f t="shared" si="19"/>
        <v>0</v>
      </c>
      <c r="Y71" s="316">
        <f t="shared" si="19"/>
        <v>0</v>
      </c>
      <c r="Z71" s="316">
        <f t="shared" si="17"/>
        <v>0</v>
      </c>
      <c r="AA71" s="316">
        <f t="shared" si="17"/>
        <v>0</v>
      </c>
      <c r="AB71" s="316">
        <f t="shared" si="17"/>
        <v>0</v>
      </c>
      <c r="AC71" s="316">
        <f t="shared" ref="Z71:AI72" si="21">IF($D71=AC$5,$C71,0)</f>
        <v>0</v>
      </c>
      <c r="AD71" s="316">
        <f t="shared" si="21"/>
        <v>0</v>
      </c>
      <c r="AE71" s="316">
        <f t="shared" si="21"/>
        <v>0</v>
      </c>
      <c r="AF71" s="316">
        <f t="shared" si="21"/>
        <v>0</v>
      </c>
      <c r="AG71" s="316">
        <f t="shared" si="21"/>
        <v>0</v>
      </c>
      <c r="AH71" s="316">
        <f t="shared" si="21"/>
        <v>0</v>
      </c>
      <c r="AI71" s="316">
        <f t="shared" si="21"/>
        <v>0</v>
      </c>
      <c r="AJ71" s="316">
        <f t="shared" si="18"/>
        <v>0</v>
      </c>
      <c r="AK71" s="316">
        <f t="shared" si="18"/>
        <v>0</v>
      </c>
      <c r="AL71" s="316">
        <f t="shared" si="18"/>
        <v>0</v>
      </c>
      <c r="AM71" s="316">
        <f t="shared" si="18"/>
        <v>0</v>
      </c>
      <c r="AN71" s="316">
        <f t="shared" si="18"/>
        <v>0</v>
      </c>
      <c r="AO71" s="316">
        <f t="shared" si="18"/>
        <v>0</v>
      </c>
      <c r="AP71" s="316">
        <f t="shared" si="18"/>
        <v>0</v>
      </c>
      <c r="AQ71" s="316">
        <f t="shared" si="18"/>
        <v>0</v>
      </c>
    </row>
    <row r="72" spans="1:43" s="144" customFormat="1" ht="13.35" hidden="1" customHeight="1" outlineLevel="1">
      <c r="A72" s="124"/>
      <c r="B72" s="577" t="str">
        <f>'Existing Loans + Loan Pipeline'!$B69</f>
        <v>[OTHER] FOR FUTURE INTERNAL BUDGETING PURPOSES</v>
      </c>
      <c r="C72" s="143">
        <f>'Existing Loans + Loan Pipeline'!E69</f>
        <v>0</v>
      </c>
      <c r="D72" s="312">
        <f>'Existing Loans + Loan Pipeline'!C69</f>
        <v>0</v>
      </c>
      <c r="E72" s="323">
        <f t="shared" si="7"/>
        <v>5</v>
      </c>
      <c r="F72" s="316">
        <f t="shared" si="20"/>
        <v>0</v>
      </c>
      <c r="G72" s="316">
        <f t="shared" si="20"/>
        <v>0</v>
      </c>
      <c r="H72" s="316">
        <f t="shared" si="20"/>
        <v>0</v>
      </c>
      <c r="I72" s="316">
        <f t="shared" si="20"/>
        <v>0</v>
      </c>
      <c r="J72" s="316">
        <f t="shared" si="20"/>
        <v>0</v>
      </c>
      <c r="K72" s="316">
        <f t="shared" si="20"/>
        <v>0</v>
      </c>
      <c r="L72" s="316">
        <f t="shared" si="20"/>
        <v>0</v>
      </c>
      <c r="M72" s="316">
        <f t="shared" si="20"/>
        <v>0</v>
      </c>
      <c r="N72" s="316">
        <f t="shared" si="20"/>
        <v>0</v>
      </c>
      <c r="O72" s="316">
        <f t="shared" si="20"/>
        <v>0</v>
      </c>
      <c r="P72" s="316">
        <f t="shared" si="19"/>
        <v>0</v>
      </c>
      <c r="Q72" s="316">
        <f t="shared" si="19"/>
        <v>0</v>
      </c>
      <c r="R72" s="316">
        <f t="shared" si="19"/>
        <v>0</v>
      </c>
      <c r="S72" s="316">
        <f t="shared" si="19"/>
        <v>0</v>
      </c>
      <c r="T72" s="316">
        <f t="shared" si="19"/>
        <v>0</v>
      </c>
      <c r="U72" s="316">
        <f t="shared" si="19"/>
        <v>0</v>
      </c>
      <c r="V72" s="316">
        <f t="shared" si="19"/>
        <v>0</v>
      </c>
      <c r="W72" s="316">
        <f t="shared" si="19"/>
        <v>0</v>
      </c>
      <c r="X72" s="316">
        <f t="shared" si="19"/>
        <v>0</v>
      </c>
      <c r="Y72" s="316">
        <f t="shared" si="19"/>
        <v>0</v>
      </c>
      <c r="Z72" s="316">
        <f t="shared" si="21"/>
        <v>0</v>
      </c>
      <c r="AA72" s="316">
        <f t="shared" si="21"/>
        <v>0</v>
      </c>
      <c r="AB72" s="316">
        <f t="shared" si="21"/>
        <v>0</v>
      </c>
      <c r="AC72" s="316">
        <f t="shared" si="21"/>
        <v>0</v>
      </c>
      <c r="AD72" s="316">
        <f t="shared" si="21"/>
        <v>0</v>
      </c>
      <c r="AE72" s="316">
        <f t="shared" si="21"/>
        <v>0</v>
      </c>
      <c r="AF72" s="316">
        <f t="shared" si="21"/>
        <v>0</v>
      </c>
      <c r="AG72" s="316">
        <f t="shared" si="21"/>
        <v>0</v>
      </c>
      <c r="AH72" s="316">
        <f t="shared" si="21"/>
        <v>0</v>
      </c>
      <c r="AI72" s="316">
        <f t="shared" si="21"/>
        <v>0</v>
      </c>
      <c r="AJ72" s="316">
        <f t="shared" si="18"/>
        <v>0</v>
      </c>
      <c r="AK72" s="316">
        <f t="shared" si="18"/>
        <v>0</v>
      </c>
      <c r="AL72" s="316">
        <f t="shared" si="18"/>
        <v>0</v>
      </c>
      <c r="AM72" s="316">
        <f t="shared" si="18"/>
        <v>0</v>
      </c>
      <c r="AN72" s="316">
        <f t="shared" si="18"/>
        <v>0</v>
      </c>
      <c r="AO72" s="316">
        <f t="shared" si="18"/>
        <v>0</v>
      </c>
      <c r="AP72" s="316">
        <f t="shared" si="18"/>
        <v>0</v>
      </c>
      <c r="AQ72" s="316">
        <f t="shared" si="18"/>
        <v>0</v>
      </c>
    </row>
    <row r="73" spans="1:43" s="144" customFormat="1" ht="13.35" customHeight="1" collapsed="1">
      <c r="A73" s="124"/>
      <c r="B73" s="321"/>
      <c r="C73" s="143"/>
      <c r="D73" s="312"/>
      <c r="E73" s="323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</row>
    <row r="74" spans="1:43" ht="13.35" customHeight="1">
      <c r="D74" s="651">
        <f>'Model Drivers'!$C$6</f>
        <v>44104</v>
      </c>
      <c r="E74" s="599">
        <f t="shared" si="7"/>
        <v>5</v>
      </c>
      <c r="F74" s="316">
        <f t="shared" ref="F74:Q74" si="22">F79*$C$75</f>
        <v>0</v>
      </c>
      <c r="G74" s="316">
        <f t="shared" si="22"/>
        <v>0</v>
      </c>
      <c r="H74" s="316">
        <f t="shared" si="22"/>
        <v>0</v>
      </c>
      <c r="I74" s="316">
        <f t="shared" si="22"/>
        <v>0</v>
      </c>
      <c r="J74" s="316">
        <f t="shared" si="22"/>
        <v>0</v>
      </c>
      <c r="K74" s="316">
        <f t="shared" si="22"/>
        <v>0</v>
      </c>
      <c r="L74" s="316">
        <f t="shared" si="22"/>
        <v>0</v>
      </c>
      <c r="M74" s="316">
        <f t="shared" si="22"/>
        <v>0</v>
      </c>
      <c r="N74" s="316">
        <f t="shared" si="22"/>
        <v>300000</v>
      </c>
      <c r="O74" s="316">
        <f t="shared" si="22"/>
        <v>300000</v>
      </c>
      <c r="P74" s="316">
        <f t="shared" si="22"/>
        <v>300000</v>
      </c>
      <c r="Q74" s="316">
        <f t="shared" si="22"/>
        <v>300000</v>
      </c>
      <c r="R74" s="316">
        <f>R79*$D$75</f>
        <v>2600000</v>
      </c>
      <c r="S74" s="316">
        <f t="shared" ref="S74:AC74" si="23">S79*$D$75</f>
        <v>2600000</v>
      </c>
      <c r="T74" s="316">
        <f t="shared" si="23"/>
        <v>2600000</v>
      </c>
      <c r="U74" s="316">
        <f t="shared" si="23"/>
        <v>2600000</v>
      </c>
      <c r="V74" s="316">
        <f t="shared" si="23"/>
        <v>2600000</v>
      </c>
      <c r="W74" s="316">
        <f t="shared" si="23"/>
        <v>2600000</v>
      </c>
      <c r="X74" s="316">
        <f t="shared" si="23"/>
        <v>2600000</v>
      </c>
      <c r="Y74" s="316">
        <f t="shared" si="23"/>
        <v>2600000</v>
      </c>
      <c r="Z74" s="316">
        <f t="shared" si="23"/>
        <v>2600000</v>
      </c>
      <c r="AA74" s="316">
        <f t="shared" si="23"/>
        <v>2600000</v>
      </c>
      <c r="AB74" s="316">
        <f t="shared" si="23"/>
        <v>2600000</v>
      </c>
      <c r="AC74" s="316">
        <f t="shared" si="23"/>
        <v>2600000</v>
      </c>
      <c r="AD74" s="316">
        <f t="shared" ref="AD74:AQ74" si="24">AD79*$E$75</f>
        <v>10500000</v>
      </c>
      <c r="AE74" s="316">
        <f t="shared" si="24"/>
        <v>10500000</v>
      </c>
      <c r="AF74" s="316">
        <f t="shared" si="24"/>
        <v>10500000</v>
      </c>
      <c r="AG74" s="316">
        <f t="shared" si="24"/>
        <v>10500000</v>
      </c>
      <c r="AH74" s="316">
        <f t="shared" si="24"/>
        <v>10500000</v>
      </c>
      <c r="AI74" s="316">
        <f t="shared" si="24"/>
        <v>10500000</v>
      </c>
      <c r="AJ74" s="316">
        <f t="shared" si="24"/>
        <v>10500000</v>
      </c>
      <c r="AK74" s="316">
        <f t="shared" si="24"/>
        <v>10500000</v>
      </c>
      <c r="AL74" s="316">
        <f t="shared" si="24"/>
        <v>10500000</v>
      </c>
      <c r="AM74" s="316">
        <f t="shared" si="24"/>
        <v>10500000</v>
      </c>
      <c r="AN74" s="316">
        <f t="shared" si="24"/>
        <v>10500000</v>
      </c>
      <c r="AO74" s="316">
        <f t="shared" si="24"/>
        <v>10500000</v>
      </c>
      <c r="AP74" s="316">
        <f t="shared" si="24"/>
        <v>10500000</v>
      </c>
      <c r="AQ74" s="316">
        <f t="shared" si="24"/>
        <v>10500000</v>
      </c>
    </row>
    <row r="75" spans="1:43" ht="13.35" customHeight="1">
      <c r="A75" s="124" t="s">
        <v>47</v>
      </c>
      <c r="B75" s="142" t="s">
        <v>246</v>
      </c>
      <c r="C75" s="652">
        <f>'Model Drivers'!C21</f>
        <v>100000</v>
      </c>
      <c r="D75" s="652">
        <f>'Model Drivers'!D21</f>
        <v>200000</v>
      </c>
      <c r="E75" s="652">
        <f>'Model Drivers'!E21</f>
        <v>300000</v>
      </c>
      <c r="F75" s="144"/>
      <c r="G75" s="147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8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4"/>
      <c r="AF75" s="148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</row>
    <row r="76" spans="1:43" s="144" customFormat="1" ht="13.35" customHeight="1">
      <c r="A76" s="124"/>
      <c r="B76" s="146"/>
      <c r="C76" s="650">
        <f>'Model Drivers'!C11</f>
        <v>43831</v>
      </c>
      <c r="D76" s="650">
        <f>'Model Drivers'!D11</f>
        <v>44197</v>
      </c>
      <c r="E76" s="650">
        <f>'Model Drivers'!E11</f>
        <v>44562</v>
      </c>
      <c r="G76" s="160"/>
      <c r="T76" s="156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F76" s="156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</row>
    <row r="77" spans="1:43" s="144" customFormat="1" ht="13.35" customHeight="1">
      <c r="A77" s="124"/>
      <c r="B77" s="142" t="s">
        <v>166</v>
      </c>
      <c r="C77" s="653">
        <f>'Model Drivers'!C22</f>
        <v>0.03</v>
      </c>
      <c r="D77" s="653">
        <f>'Model Drivers'!D22</f>
        <v>0.05</v>
      </c>
      <c r="E77" s="653">
        <f>'Model Drivers'!E22</f>
        <v>7.0000000000000007E-2</v>
      </c>
      <c r="F77"/>
      <c r="G77"/>
      <c r="H77"/>
      <c r="T77" s="156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F77" s="156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</row>
    <row r="78" spans="1:43" ht="13.35" customHeight="1">
      <c r="B78" s="142" t="s">
        <v>247</v>
      </c>
      <c r="F78" s="150">
        <f t="shared" ref="F78:AQ78" si="25">COUNTA(F19:F73)-COUNTIF(F19:F73,"=0")</f>
        <v>0</v>
      </c>
      <c r="G78" s="150">
        <f t="shared" si="25"/>
        <v>0</v>
      </c>
      <c r="H78" s="123">
        <f t="shared" si="25"/>
        <v>0</v>
      </c>
      <c r="I78" s="150">
        <f t="shared" si="25"/>
        <v>0</v>
      </c>
      <c r="J78" s="150">
        <f t="shared" si="25"/>
        <v>0</v>
      </c>
      <c r="K78" s="150">
        <f t="shared" si="25"/>
        <v>1</v>
      </c>
      <c r="L78" s="150">
        <f t="shared" si="25"/>
        <v>3</v>
      </c>
      <c r="M78" s="150">
        <f t="shared" si="25"/>
        <v>3</v>
      </c>
      <c r="N78" s="150">
        <f t="shared" si="25"/>
        <v>4</v>
      </c>
      <c r="O78" s="150">
        <f t="shared" si="25"/>
        <v>4</v>
      </c>
      <c r="P78" s="150">
        <f t="shared" si="25"/>
        <v>3</v>
      </c>
      <c r="Q78" s="150">
        <f t="shared" si="25"/>
        <v>0</v>
      </c>
      <c r="R78" s="150">
        <f t="shared" si="25"/>
        <v>0</v>
      </c>
      <c r="S78" s="150">
        <f t="shared" si="25"/>
        <v>0</v>
      </c>
      <c r="T78" s="150">
        <f t="shared" si="25"/>
        <v>0</v>
      </c>
      <c r="U78" s="150">
        <f t="shared" si="25"/>
        <v>0</v>
      </c>
      <c r="V78" s="150">
        <f t="shared" si="25"/>
        <v>0</v>
      </c>
      <c r="W78" s="150">
        <f t="shared" si="25"/>
        <v>0</v>
      </c>
      <c r="X78" s="150">
        <f t="shared" si="25"/>
        <v>0</v>
      </c>
      <c r="Y78" s="150">
        <f t="shared" si="25"/>
        <v>0</v>
      </c>
      <c r="Z78" s="150">
        <f t="shared" si="25"/>
        <v>0</v>
      </c>
      <c r="AA78" s="150">
        <f t="shared" si="25"/>
        <v>0</v>
      </c>
      <c r="AB78" s="150">
        <f t="shared" si="25"/>
        <v>0</v>
      </c>
      <c r="AC78" s="150">
        <f t="shared" si="25"/>
        <v>0</v>
      </c>
      <c r="AD78" s="150">
        <f t="shared" si="25"/>
        <v>0</v>
      </c>
      <c r="AE78" s="150">
        <f t="shared" si="25"/>
        <v>0</v>
      </c>
      <c r="AF78" s="150">
        <f t="shared" si="25"/>
        <v>0</v>
      </c>
      <c r="AG78" s="150">
        <f t="shared" si="25"/>
        <v>0</v>
      </c>
      <c r="AH78" s="150">
        <f t="shared" si="25"/>
        <v>0</v>
      </c>
      <c r="AI78" s="150">
        <f t="shared" si="25"/>
        <v>0</v>
      </c>
      <c r="AJ78" s="150">
        <f t="shared" si="25"/>
        <v>0</v>
      </c>
      <c r="AK78" s="150">
        <f t="shared" si="25"/>
        <v>0</v>
      </c>
      <c r="AL78" s="150">
        <f t="shared" si="25"/>
        <v>0</v>
      </c>
      <c r="AM78" s="150">
        <f t="shared" si="25"/>
        <v>0</v>
      </c>
      <c r="AN78" s="150">
        <f t="shared" si="25"/>
        <v>0</v>
      </c>
      <c r="AO78" s="150">
        <f t="shared" si="25"/>
        <v>0</v>
      </c>
      <c r="AP78" s="150">
        <f t="shared" si="25"/>
        <v>0</v>
      </c>
      <c r="AQ78" s="150">
        <f t="shared" si="25"/>
        <v>0</v>
      </c>
    </row>
    <row r="79" spans="1:43" s="144" customFormat="1" ht="13.35" customHeight="1">
      <c r="A79" s="124"/>
      <c r="B79" s="142" t="s">
        <v>248</v>
      </c>
      <c r="C79" s="125"/>
      <c r="D79" s="125"/>
      <c r="E79" s="125"/>
      <c r="F79" s="150">
        <f t="shared" ref="F79:AQ79" si="26">IF(AND(F$5&gt;=$C$76,F$5&lt;$D$74),0,IF(F$5&lt;=$D$76,ROUND($C77*F$12,0),IF(F$5&lt;=$E$76,ROUND($D77*F$12,0),ROUND($E77*F$12,0))))</f>
        <v>0</v>
      </c>
      <c r="G79" s="150">
        <f t="shared" si="26"/>
        <v>0</v>
      </c>
      <c r="H79" s="123">
        <f t="shared" si="26"/>
        <v>0</v>
      </c>
      <c r="I79" s="150">
        <f t="shared" si="26"/>
        <v>0</v>
      </c>
      <c r="J79" s="150">
        <f t="shared" si="26"/>
        <v>0</v>
      </c>
      <c r="K79" s="150">
        <f t="shared" si="26"/>
        <v>0</v>
      </c>
      <c r="L79" s="150">
        <f t="shared" si="26"/>
        <v>0</v>
      </c>
      <c r="M79" s="150">
        <f t="shared" si="26"/>
        <v>0</v>
      </c>
      <c r="N79" s="150">
        <f t="shared" si="26"/>
        <v>3</v>
      </c>
      <c r="O79" s="150">
        <f t="shared" si="26"/>
        <v>3</v>
      </c>
      <c r="P79" s="150">
        <f t="shared" si="26"/>
        <v>3</v>
      </c>
      <c r="Q79" s="150">
        <f t="shared" si="26"/>
        <v>3</v>
      </c>
      <c r="R79" s="150">
        <f t="shared" si="26"/>
        <v>13</v>
      </c>
      <c r="S79" s="150">
        <f t="shared" si="26"/>
        <v>13</v>
      </c>
      <c r="T79" s="150">
        <f t="shared" si="26"/>
        <v>13</v>
      </c>
      <c r="U79" s="150">
        <f t="shared" si="26"/>
        <v>13</v>
      </c>
      <c r="V79" s="150">
        <f t="shared" si="26"/>
        <v>13</v>
      </c>
      <c r="W79" s="150">
        <f t="shared" si="26"/>
        <v>13</v>
      </c>
      <c r="X79" s="150">
        <f t="shared" si="26"/>
        <v>13</v>
      </c>
      <c r="Y79" s="150">
        <f t="shared" si="26"/>
        <v>13</v>
      </c>
      <c r="Z79" s="150">
        <f t="shared" si="26"/>
        <v>13</v>
      </c>
      <c r="AA79" s="150">
        <f t="shared" si="26"/>
        <v>13</v>
      </c>
      <c r="AB79" s="150">
        <f t="shared" si="26"/>
        <v>13</v>
      </c>
      <c r="AC79" s="150">
        <f t="shared" si="26"/>
        <v>13</v>
      </c>
      <c r="AD79" s="150">
        <f t="shared" si="26"/>
        <v>35</v>
      </c>
      <c r="AE79" s="150">
        <f t="shared" si="26"/>
        <v>35</v>
      </c>
      <c r="AF79" s="150">
        <f t="shared" si="26"/>
        <v>35</v>
      </c>
      <c r="AG79" s="150">
        <f t="shared" si="26"/>
        <v>35</v>
      </c>
      <c r="AH79" s="150">
        <f t="shared" si="26"/>
        <v>35</v>
      </c>
      <c r="AI79" s="150">
        <f t="shared" si="26"/>
        <v>35</v>
      </c>
      <c r="AJ79" s="150">
        <f t="shared" si="26"/>
        <v>35</v>
      </c>
      <c r="AK79" s="150">
        <f t="shared" si="26"/>
        <v>35</v>
      </c>
      <c r="AL79" s="150">
        <f t="shared" si="26"/>
        <v>35</v>
      </c>
      <c r="AM79" s="150">
        <f t="shared" si="26"/>
        <v>35</v>
      </c>
      <c r="AN79" s="150">
        <f t="shared" si="26"/>
        <v>35</v>
      </c>
      <c r="AO79" s="150">
        <f t="shared" si="26"/>
        <v>35</v>
      </c>
      <c r="AP79" s="150">
        <f t="shared" si="26"/>
        <v>35</v>
      </c>
      <c r="AQ79" s="150">
        <f t="shared" si="26"/>
        <v>35</v>
      </c>
    </row>
    <row r="80" spans="1:43" ht="13.35" customHeight="1">
      <c r="B80" s="142" t="s">
        <v>160</v>
      </c>
      <c r="F80" s="316">
        <f t="shared" ref="F80:AQ80" si="27">SUM(F19:F74)</f>
        <v>0</v>
      </c>
      <c r="G80" s="318">
        <f t="shared" si="27"/>
        <v>0</v>
      </c>
      <c r="H80" s="316">
        <f t="shared" si="27"/>
        <v>0</v>
      </c>
      <c r="I80" s="316">
        <f t="shared" si="27"/>
        <v>0</v>
      </c>
      <c r="J80" s="316">
        <f t="shared" si="27"/>
        <v>0</v>
      </c>
      <c r="K80" s="316">
        <f t="shared" si="27"/>
        <v>300000</v>
      </c>
      <c r="L80" s="316">
        <f t="shared" si="27"/>
        <v>2500000</v>
      </c>
      <c r="M80" s="316">
        <f t="shared" si="27"/>
        <v>1350000</v>
      </c>
      <c r="N80" s="316">
        <f t="shared" si="27"/>
        <v>4000000</v>
      </c>
      <c r="O80" s="316">
        <f t="shared" si="27"/>
        <v>1800000</v>
      </c>
      <c r="P80" s="316">
        <f t="shared" si="27"/>
        <v>1050000</v>
      </c>
      <c r="Q80" s="316">
        <f t="shared" si="27"/>
        <v>300000</v>
      </c>
      <c r="R80" s="316">
        <f t="shared" si="27"/>
        <v>2600000</v>
      </c>
      <c r="S80" s="316">
        <f t="shared" si="27"/>
        <v>2600000</v>
      </c>
      <c r="T80" s="317">
        <f t="shared" si="27"/>
        <v>2600000</v>
      </c>
      <c r="U80" s="316">
        <f t="shared" si="27"/>
        <v>2600000</v>
      </c>
      <c r="V80" s="316">
        <f t="shared" si="27"/>
        <v>2600000</v>
      </c>
      <c r="W80" s="316">
        <f t="shared" si="27"/>
        <v>2600000</v>
      </c>
      <c r="X80" s="318">
        <f t="shared" si="27"/>
        <v>2600000</v>
      </c>
      <c r="Y80" s="316">
        <f t="shared" si="27"/>
        <v>2600000</v>
      </c>
      <c r="Z80" s="316">
        <f t="shared" si="27"/>
        <v>2600000</v>
      </c>
      <c r="AA80" s="316">
        <f t="shared" si="27"/>
        <v>2600000</v>
      </c>
      <c r="AB80" s="316">
        <f t="shared" si="27"/>
        <v>2600000</v>
      </c>
      <c r="AC80" s="316">
        <f t="shared" si="27"/>
        <v>2600000</v>
      </c>
      <c r="AD80" s="316">
        <f t="shared" si="27"/>
        <v>10500000</v>
      </c>
      <c r="AE80" s="316">
        <f t="shared" si="27"/>
        <v>10500000</v>
      </c>
      <c r="AF80" s="317">
        <f t="shared" si="27"/>
        <v>10500000</v>
      </c>
      <c r="AG80" s="316">
        <f t="shared" si="27"/>
        <v>10500000</v>
      </c>
      <c r="AH80" s="316">
        <f t="shared" si="27"/>
        <v>10500000</v>
      </c>
      <c r="AI80" s="316">
        <f t="shared" si="27"/>
        <v>10500000</v>
      </c>
      <c r="AJ80" s="316">
        <f t="shared" si="27"/>
        <v>10500000</v>
      </c>
      <c r="AK80" s="316">
        <f t="shared" si="27"/>
        <v>10500000</v>
      </c>
      <c r="AL80" s="316">
        <f t="shared" si="27"/>
        <v>10500000</v>
      </c>
      <c r="AM80" s="316">
        <f t="shared" si="27"/>
        <v>10500000</v>
      </c>
      <c r="AN80" s="316">
        <f t="shared" si="27"/>
        <v>10500000</v>
      </c>
      <c r="AO80" s="316">
        <f t="shared" si="27"/>
        <v>10500000</v>
      </c>
      <c r="AP80" s="316">
        <f t="shared" si="27"/>
        <v>10500000</v>
      </c>
      <c r="AQ80" s="316">
        <f t="shared" si="27"/>
        <v>10500000</v>
      </c>
    </row>
    <row r="81" spans="1:44" s="46" customFormat="1" ht="13.35" customHeight="1">
      <c r="G81" s="85"/>
    </row>
    <row r="82" spans="1:44" ht="13.35" customHeight="1">
      <c r="A82" s="124" t="s">
        <v>47</v>
      </c>
      <c r="B82" s="151" t="s">
        <v>242</v>
      </c>
      <c r="C82" s="152"/>
      <c r="D82" s="152"/>
      <c r="E82" s="152"/>
      <c r="F82" s="198">
        <f>F80</f>
        <v>0</v>
      </c>
      <c r="G82" s="198">
        <f>G80</f>
        <v>0</v>
      </c>
      <c r="H82" s="198">
        <f t="shared" ref="H82:AQ82" si="28">H80</f>
        <v>0</v>
      </c>
      <c r="I82" s="198">
        <f t="shared" si="28"/>
        <v>0</v>
      </c>
      <c r="J82" s="198">
        <f t="shared" si="28"/>
        <v>0</v>
      </c>
      <c r="K82" s="198">
        <f t="shared" si="28"/>
        <v>300000</v>
      </c>
      <c r="L82" s="198">
        <f t="shared" si="28"/>
        <v>2500000</v>
      </c>
      <c r="M82" s="198">
        <f t="shared" si="28"/>
        <v>1350000</v>
      </c>
      <c r="N82" s="198">
        <f t="shared" si="28"/>
        <v>4000000</v>
      </c>
      <c r="O82" s="198">
        <f t="shared" si="28"/>
        <v>1800000</v>
      </c>
      <c r="P82" s="198">
        <f t="shared" si="28"/>
        <v>1050000</v>
      </c>
      <c r="Q82" s="198">
        <f t="shared" si="28"/>
        <v>300000</v>
      </c>
      <c r="R82" s="198">
        <f t="shared" si="28"/>
        <v>2600000</v>
      </c>
      <c r="S82" s="198">
        <f t="shared" si="28"/>
        <v>2600000</v>
      </c>
      <c r="T82" s="197">
        <f t="shared" si="28"/>
        <v>2600000</v>
      </c>
      <c r="U82" s="198">
        <f t="shared" si="28"/>
        <v>2600000</v>
      </c>
      <c r="V82" s="198">
        <f t="shared" si="28"/>
        <v>2600000</v>
      </c>
      <c r="W82" s="198">
        <f t="shared" si="28"/>
        <v>2600000</v>
      </c>
      <c r="X82" s="198">
        <f t="shared" si="28"/>
        <v>2600000</v>
      </c>
      <c r="Y82" s="198">
        <f t="shared" si="28"/>
        <v>2600000</v>
      </c>
      <c r="Z82" s="198">
        <f t="shared" si="28"/>
        <v>2600000</v>
      </c>
      <c r="AA82" s="198">
        <f t="shared" si="28"/>
        <v>2600000</v>
      </c>
      <c r="AB82" s="198">
        <f t="shared" si="28"/>
        <v>2600000</v>
      </c>
      <c r="AC82" s="198">
        <f t="shared" si="28"/>
        <v>2600000</v>
      </c>
      <c r="AD82" s="198">
        <f t="shared" si="28"/>
        <v>10500000</v>
      </c>
      <c r="AE82" s="198">
        <f t="shared" si="28"/>
        <v>10500000</v>
      </c>
      <c r="AF82" s="197">
        <f t="shared" si="28"/>
        <v>10500000</v>
      </c>
      <c r="AG82" s="198">
        <f t="shared" si="28"/>
        <v>10500000</v>
      </c>
      <c r="AH82" s="198">
        <f t="shared" si="28"/>
        <v>10500000</v>
      </c>
      <c r="AI82" s="198">
        <f t="shared" si="28"/>
        <v>10500000</v>
      </c>
      <c r="AJ82" s="198">
        <f t="shared" si="28"/>
        <v>10500000</v>
      </c>
      <c r="AK82" s="198">
        <f t="shared" si="28"/>
        <v>10500000</v>
      </c>
      <c r="AL82" s="198">
        <f t="shared" si="28"/>
        <v>10500000</v>
      </c>
      <c r="AM82" s="198">
        <f t="shared" si="28"/>
        <v>10500000</v>
      </c>
      <c r="AN82" s="198">
        <f t="shared" si="28"/>
        <v>10500000</v>
      </c>
      <c r="AO82" s="198">
        <f t="shared" si="28"/>
        <v>10500000</v>
      </c>
      <c r="AP82" s="198">
        <f t="shared" si="28"/>
        <v>10500000</v>
      </c>
      <c r="AQ82" s="198">
        <f t="shared" si="28"/>
        <v>10500000</v>
      </c>
    </row>
    <row r="83" spans="1:44" s="46" customFormat="1" ht="13.35" customHeight="1">
      <c r="G83" s="85"/>
    </row>
    <row r="84" spans="1:44" ht="13.35" customHeight="1">
      <c r="A84" s="124" t="s">
        <v>47</v>
      </c>
      <c r="B84" s="133" t="str">
        <f>"Cumulative Loans Outstanding &amp; Loan Servicing Revenue ("&amp;TEXT(C157,"0.00%")&amp;")"</f>
        <v>Cumulative Loans Outstanding &amp; Loan Servicing Revenue (1.00%)</v>
      </c>
      <c r="C84" s="134"/>
      <c r="D84" s="134"/>
      <c r="E84" s="134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7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7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</row>
    <row r="85" spans="1:44" ht="13.35" customHeight="1">
      <c r="C85" s="153"/>
      <c r="D85" s="153"/>
      <c r="E85" s="153"/>
      <c r="F85" s="138"/>
      <c r="G85" s="510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40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40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</row>
    <row r="86" spans="1:44" ht="13.35" customHeight="1">
      <c r="A86" s="124" t="s">
        <v>47</v>
      </c>
      <c r="B86" s="310" t="str">
        <f t="shared" ref="B86:E105" si="29">B18</f>
        <v>Current Farms</v>
      </c>
      <c r="C86" s="307" t="str">
        <f t="shared" si="29"/>
        <v>Loan Size</v>
      </c>
      <c r="D86" s="307" t="str">
        <f t="shared" si="29"/>
        <v>Close Date</v>
      </c>
      <c r="E86" s="307" t="str">
        <f t="shared" si="29"/>
        <v>Term (Years)</v>
      </c>
      <c r="F86" s="308"/>
      <c r="G86" s="309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11"/>
      <c r="AR86" s="144"/>
    </row>
    <row r="87" spans="1:44" ht="13.35" customHeight="1">
      <c r="B87" s="142" t="str">
        <f t="shared" si="29"/>
        <v>ACRE Detroit</v>
      </c>
      <c r="C87" s="145">
        <f t="shared" si="29"/>
        <v>85944</v>
      </c>
      <c r="D87" s="322">
        <f t="shared" si="29"/>
        <v>42906</v>
      </c>
      <c r="E87" s="323">
        <f t="shared" si="29"/>
        <v>5</v>
      </c>
      <c r="F87" s="315">
        <f t="shared" ref="F87:O96" si="30">IF(AND(F$5&gt;=$D87,F$5&lt;=EOMONTH($D87,$C$8*12)),$C87,0)</f>
        <v>85944</v>
      </c>
      <c r="G87" s="315">
        <f t="shared" si="30"/>
        <v>85944</v>
      </c>
      <c r="H87" s="315">
        <f t="shared" si="30"/>
        <v>85944</v>
      </c>
      <c r="I87" s="315">
        <f t="shared" si="30"/>
        <v>85944</v>
      </c>
      <c r="J87" s="315">
        <f t="shared" si="30"/>
        <v>85944</v>
      </c>
      <c r="K87" s="315">
        <f t="shared" si="30"/>
        <v>85944</v>
      </c>
      <c r="L87" s="315">
        <f t="shared" si="30"/>
        <v>85944</v>
      </c>
      <c r="M87" s="315">
        <f t="shared" si="30"/>
        <v>85944</v>
      </c>
      <c r="N87" s="315">
        <f t="shared" si="30"/>
        <v>85944</v>
      </c>
      <c r="O87" s="315">
        <f t="shared" si="30"/>
        <v>85944</v>
      </c>
      <c r="P87" s="315">
        <f t="shared" ref="P87:Y96" si="31">IF(AND(P$5&gt;=$D87,P$5&lt;=EOMONTH($D87,$C$8*12)),$C87,0)</f>
        <v>85944</v>
      </c>
      <c r="Q87" s="315">
        <f t="shared" si="31"/>
        <v>85944</v>
      </c>
      <c r="R87" s="315">
        <f t="shared" si="31"/>
        <v>85944</v>
      </c>
      <c r="S87" s="315">
        <f t="shared" si="31"/>
        <v>85944</v>
      </c>
      <c r="T87" s="315">
        <f t="shared" si="31"/>
        <v>85944</v>
      </c>
      <c r="U87" s="315">
        <f t="shared" si="31"/>
        <v>85944</v>
      </c>
      <c r="V87" s="315">
        <f t="shared" si="31"/>
        <v>85944</v>
      </c>
      <c r="W87" s="315">
        <f t="shared" si="31"/>
        <v>85944</v>
      </c>
      <c r="X87" s="315">
        <f t="shared" si="31"/>
        <v>85944</v>
      </c>
      <c r="Y87" s="315">
        <f t="shared" si="31"/>
        <v>85944</v>
      </c>
      <c r="Z87" s="315">
        <f t="shared" ref="Z87:AI96" si="32">IF(AND(Z$5&gt;=$D87,Z$5&lt;=EOMONTH($D87,$C$8*12)),$C87,0)</f>
        <v>85944</v>
      </c>
      <c r="AA87" s="315">
        <f t="shared" si="32"/>
        <v>85944</v>
      </c>
      <c r="AB87" s="315">
        <f t="shared" si="32"/>
        <v>85944</v>
      </c>
      <c r="AC87" s="315">
        <f t="shared" si="32"/>
        <v>85944</v>
      </c>
      <c r="AD87" s="315">
        <f t="shared" si="32"/>
        <v>85944</v>
      </c>
      <c r="AE87" s="315">
        <f t="shared" si="32"/>
        <v>85944</v>
      </c>
      <c r="AF87" s="315">
        <f t="shared" si="32"/>
        <v>85944</v>
      </c>
      <c r="AG87" s="315">
        <f t="shared" si="32"/>
        <v>85944</v>
      </c>
      <c r="AH87" s="315">
        <f t="shared" si="32"/>
        <v>85944</v>
      </c>
      <c r="AI87" s="315">
        <f t="shared" si="32"/>
        <v>85944</v>
      </c>
      <c r="AJ87" s="315">
        <f t="shared" ref="AJ87:AQ96" si="33">IF(AND(AJ$5&gt;=$D87,AJ$5&lt;=EOMONTH($D87,$C$8*12)),$C87,0)</f>
        <v>0</v>
      </c>
      <c r="AK87" s="315">
        <f t="shared" si="33"/>
        <v>0</v>
      </c>
      <c r="AL87" s="315">
        <f t="shared" si="33"/>
        <v>0</v>
      </c>
      <c r="AM87" s="315">
        <f t="shared" si="33"/>
        <v>0</v>
      </c>
      <c r="AN87" s="315">
        <f t="shared" si="33"/>
        <v>0</v>
      </c>
      <c r="AO87" s="315">
        <f t="shared" si="33"/>
        <v>0</v>
      </c>
      <c r="AP87" s="315">
        <f t="shared" si="33"/>
        <v>0</v>
      </c>
      <c r="AQ87" s="315">
        <f t="shared" si="33"/>
        <v>0</v>
      </c>
    </row>
    <row r="88" spans="1:44" ht="13.35" customHeight="1">
      <c r="B88" s="142" t="str">
        <f t="shared" si="29"/>
        <v>Fisheye Farms</v>
      </c>
      <c r="C88" s="145">
        <f t="shared" si="29"/>
        <v>130356</v>
      </c>
      <c r="D88" s="322">
        <f t="shared" si="29"/>
        <v>42970</v>
      </c>
      <c r="E88" s="323">
        <f t="shared" si="29"/>
        <v>5</v>
      </c>
      <c r="F88" s="315">
        <f t="shared" si="30"/>
        <v>130356</v>
      </c>
      <c r="G88" s="315">
        <f t="shared" si="30"/>
        <v>130356</v>
      </c>
      <c r="H88" s="315">
        <f t="shared" si="30"/>
        <v>130356</v>
      </c>
      <c r="I88" s="315">
        <f t="shared" si="30"/>
        <v>130356</v>
      </c>
      <c r="J88" s="315">
        <f t="shared" si="30"/>
        <v>130356</v>
      </c>
      <c r="K88" s="315">
        <f t="shared" si="30"/>
        <v>130356</v>
      </c>
      <c r="L88" s="315">
        <f t="shared" si="30"/>
        <v>130356</v>
      </c>
      <c r="M88" s="315">
        <f t="shared" si="30"/>
        <v>130356</v>
      </c>
      <c r="N88" s="315">
        <f t="shared" si="30"/>
        <v>130356</v>
      </c>
      <c r="O88" s="315">
        <f t="shared" si="30"/>
        <v>130356</v>
      </c>
      <c r="P88" s="315">
        <f t="shared" si="31"/>
        <v>130356</v>
      </c>
      <c r="Q88" s="315">
        <f t="shared" si="31"/>
        <v>130356</v>
      </c>
      <c r="R88" s="315">
        <f t="shared" si="31"/>
        <v>130356</v>
      </c>
      <c r="S88" s="315">
        <f t="shared" si="31"/>
        <v>130356</v>
      </c>
      <c r="T88" s="315">
        <f t="shared" si="31"/>
        <v>130356</v>
      </c>
      <c r="U88" s="315">
        <f t="shared" si="31"/>
        <v>130356</v>
      </c>
      <c r="V88" s="315">
        <f t="shared" si="31"/>
        <v>130356</v>
      </c>
      <c r="W88" s="315">
        <f t="shared" si="31"/>
        <v>130356</v>
      </c>
      <c r="X88" s="315">
        <f t="shared" si="31"/>
        <v>130356</v>
      </c>
      <c r="Y88" s="315">
        <f t="shared" si="31"/>
        <v>130356</v>
      </c>
      <c r="Z88" s="315">
        <f t="shared" si="32"/>
        <v>130356</v>
      </c>
      <c r="AA88" s="315">
        <f t="shared" si="32"/>
        <v>130356</v>
      </c>
      <c r="AB88" s="315">
        <f t="shared" si="32"/>
        <v>130356</v>
      </c>
      <c r="AC88" s="315">
        <f t="shared" si="32"/>
        <v>130356</v>
      </c>
      <c r="AD88" s="315">
        <f t="shared" si="32"/>
        <v>130356</v>
      </c>
      <c r="AE88" s="315">
        <f t="shared" si="32"/>
        <v>130356</v>
      </c>
      <c r="AF88" s="315">
        <f t="shared" si="32"/>
        <v>130356</v>
      </c>
      <c r="AG88" s="315">
        <f t="shared" si="32"/>
        <v>130356</v>
      </c>
      <c r="AH88" s="315">
        <f t="shared" si="32"/>
        <v>130356</v>
      </c>
      <c r="AI88" s="315">
        <f t="shared" si="32"/>
        <v>130356</v>
      </c>
      <c r="AJ88" s="315">
        <f t="shared" si="33"/>
        <v>130356</v>
      </c>
      <c r="AK88" s="315">
        <f t="shared" si="33"/>
        <v>130356</v>
      </c>
      <c r="AL88" s="315">
        <f t="shared" si="33"/>
        <v>0</v>
      </c>
      <c r="AM88" s="315">
        <f t="shared" si="33"/>
        <v>0</v>
      </c>
      <c r="AN88" s="315">
        <f t="shared" si="33"/>
        <v>0</v>
      </c>
      <c r="AO88" s="315">
        <f t="shared" si="33"/>
        <v>0</v>
      </c>
      <c r="AP88" s="315">
        <f t="shared" si="33"/>
        <v>0</v>
      </c>
      <c r="AQ88" s="315">
        <f t="shared" si="33"/>
        <v>0</v>
      </c>
    </row>
    <row r="89" spans="1:44" ht="13.35" customHeight="1">
      <c r="B89" s="142" t="str">
        <f t="shared" si="29"/>
        <v>Beiler’s Heritage Acres</v>
      </c>
      <c r="C89" s="145">
        <f t="shared" si="29"/>
        <v>575701</v>
      </c>
      <c r="D89" s="322">
        <f t="shared" si="29"/>
        <v>43266</v>
      </c>
      <c r="E89" s="323">
        <f t="shared" si="29"/>
        <v>5</v>
      </c>
      <c r="F89" s="315">
        <f t="shared" si="30"/>
        <v>575701</v>
      </c>
      <c r="G89" s="315">
        <f t="shared" si="30"/>
        <v>575701</v>
      </c>
      <c r="H89" s="315">
        <f t="shared" si="30"/>
        <v>575701</v>
      </c>
      <c r="I89" s="315">
        <f t="shared" si="30"/>
        <v>575701</v>
      </c>
      <c r="J89" s="315">
        <f t="shared" si="30"/>
        <v>575701</v>
      </c>
      <c r="K89" s="315">
        <f t="shared" si="30"/>
        <v>575701</v>
      </c>
      <c r="L89" s="315">
        <f t="shared" si="30"/>
        <v>575701</v>
      </c>
      <c r="M89" s="315">
        <f t="shared" si="30"/>
        <v>575701</v>
      </c>
      <c r="N89" s="315">
        <f t="shared" si="30"/>
        <v>575701</v>
      </c>
      <c r="O89" s="315">
        <f t="shared" si="30"/>
        <v>575701</v>
      </c>
      <c r="P89" s="315">
        <f t="shared" si="31"/>
        <v>575701</v>
      </c>
      <c r="Q89" s="315">
        <f t="shared" si="31"/>
        <v>575701</v>
      </c>
      <c r="R89" s="315">
        <f t="shared" si="31"/>
        <v>575701</v>
      </c>
      <c r="S89" s="315">
        <f t="shared" si="31"/>
        <v>575701</v>
      </c>
      <c r="T89" s="315">
        <f t="shared" si="31"/>
        <v>575701</v>
      </c>
      <c r="U89" s="315">
        <f t="shared" si="31"/>
        <v>575701</v>
      </c>
      <c r="V89" s="315">
        <f t="shared" si="31"/>
        <v>575701</v>
      </c>
      <c r="W89" s="315">
        <f t="shared" si="31"/>
        <v>575701</v>
      </c>
      <c r="X89" s="315">
        <f t="shared" si="31"/>
        <v>575701</v>
      </c>
      <c r="Y89" s="315">
        <f t="shared" si="31"/>
        <v>575701</v>
      </c>
      <c r="Z89" s="315">
        <f t="shared" si="32"/>
        <v>575701</v>
      </c>
      <c r="AA89" s="315">
        <f t="shared" si="32"/>
        <v>575701</v>
      </c>
      <c r="AB89" s="315">
        <f t="shared" si="32"/>
        <v>575701</v>
      </c>
      <c r="AC89" s="315">
        <f t="shared" si="32"/>
        <v>575701</v>
      </c>
      <c r="AD89" s="315">
        <f t="shared" si="32"/>
        <v>575701</v>
      </c>
      <c r="AE89" s="315">
        <f t="shared" si="32"/>
        <v>575701</v>
      </c>
      <c r="AF89" s="315">
        <f t="shared" si="32"/>
        <v>575701</v>
      </c>
      <c r="AG89" s="315">
        <f t="shared" si="32"/>
        <v>575701</v>
      </c>
      <c r="AH89" s="315">
        <f t="shared" si="32"/>
        <v>575701</v>
      </c>
      <c r="AI89" s="315">
        <f t="shared" si="32"/>
        <v>575701</v>
      </c>
      <c r="AJ89" s="315">
        <f t="shared" si="33"/>
        <v>575701</v>
      </c>
      <c r="AK89" s="315">
        <f t="shared" si="33"/>
        <v>575701</v>
      </c>
      <c r="AL89" s="315">
        <f t="shared" si="33"/>
        <v>575701</v>
      </c>
      <c r="AM89" s="315">
        <f t="shared" si="33"/>
        <v>575701</v>
      </c>
      <c r="AN89" s="315">
        <f t="shared" si="33"/>
        <v>575701</v>
      </c>
      <c r="AO89" s="315">
        <f t="shared" si="33"/>
        <v>575701</v>
      </c>
      <c r="AP89" s="315">
        <f t="shared" si="33"/>
        <v>575701</v>
      </c>
      <c r="AQ89" s="315">
        <f t="shared" si="33"/>
        <v>575701</v>
      </c>
    </row>
    <row r="90" spans="1:44" ht="13.35" customHeight="1">
      <c r="B90" s="142" t="str">
        <f t="shared" si="29"/>
        <v>Eastfork Cultivars / Hope Mountain</v>
      </c>
      <c r="C90" s="145">
        <f t="shared" si="29"/>
        <v>642473</v>
      </c>
      <c r="D90" s="322">
        <f t="shared" si="29"/>
        <v>43293</v>
      </c>
      <c r="E90" s="323">
        <f t="shared" si="29"/>
        <v>5</v>
      </c>
      <c r="F90" s="315">
        <f t="shared" si="30"/>
        <v>642473</v>
      </c>
      <c r="G90" s="315">
        <f t="shared" si="30"/>
        <v>642473</v>
      </c>
      <c r="H90" s="315">
        <f t="shared" si="30"/>
        <v>642473</v>
      </c>
      <c r="I90" s="315">
        <f t="shared" si="30"/>
        <v>642473</v>
      </c>
      <c r="J90" s="315">
        <f t="shared" si="30"/>
        <v>642473</v>
      </c>
      <c r="K90" s="315">
        <f t="shared" si="30"/>
        <v>642473</v>
      </c>
      <c r="L90" s="315">
        <f t="shared" si="30"/>
        <v>642473</v>
      </c>
      <c r="M90" s="315">
        <f t="shared" si="30"/>
        <v>642473</v>
      </c>
      <c r="N90" s="315">
        <f t="shared" si="30"/>
        <v>642473</v>
      </c>
      <c r="O90" s="315">
        <f t="shared" si="30"/>
        <v>642473</v>
      </c>
      <c r="P90" s="315">
        <f t="shared" si="31"/>
        <v>642473</v>
      </c>
      <c r="Q90" s="315">
        <f t="shared" si="31"/>
        <v>642473</v>
      </c>
      <c r="R90" s="315">
        <f t="shared" si="31"/>
        <v>642473</v>
      </c>
      <c r="S90" s="315">
        <f t="shared" si="31"/>
        <v>642473</v>
      </c>
      <c r="T90" s="315">
        <f t="shared" si="31"/>
        <v>642473</v>
      </c>
      <c r="U90" s="315">
        <f t="shared" si="31"/>
        <v>642473</v>
      </c>
      <c r="V90" s="315">
        <f t="shared" si="31"/>
        <v>642473</v>
      </c>
      <c r="W90" s="315">
        <f t="shared" si="31"/>
        <v>642473</v>
      </c>
      <c r="X90" s="315">
        <f t="shared" si="31"/>
        <v>642473</v>
      </c>
      <c r="Y90" s="315">
        <f t="shared" si="31"/>
        <v>642473</v>
      </c>
      <c r="Z90" s="315">
        <f t="shared" si="32"/>
        <v>642473</v>
      </c>
      <c r="AA90" s="315">
        <f t="shared" si="32"/>
        <v>642473</v>
      </c>
      <c r="AB90" s="315">
        <f t="shared" si="32"/>
        <v>642473</v>
      </c>
      <c r="AC90" s="315">
        <f t="shared" si="32"/>
        <v>642473</v>
      </c>
      <c r="AD90" s="315">
        <f t="shared" si="32"/>
        <v>642473</v>
      </c>
      <c r="AE90" s="315">
        <f t="shared" si="32"/>
        <v>642473</v>
      </c>
      <c r="AF90" s="315">
        <f t="shared" si="32"/>
        <v>642473</v>
      </c>
      <c r="AG90" s="315">
        <f t="shared" si="32"/>
        <v>642473</v>
      </c>
      <c r="AH90" s="315">
        <f t="shared" si="32"/>
        <v>642473</v>
      </c>
      <c r="AI90" s="315">
        <f t="shared" si="32"/>
        <v>642473</v>
      </c>
      <c r="AJ90" s="315">
        <f t="shared" si="33"/>
        <v>642473</v>
      </c>
      <c r="AK90" s="315">
        <f t="shared" si="33"/>
        <v>642473</v>
      </c>
      <c r="AL90" s="315">
        <f t="shared" si="33"/>
        <v>642473</v>
      </c>
      <c r="AM90" s="315">
        <f t="shared" si="33"/>
        <v>642473</v>
      </c>
      <c r="AN90" s="315">
        <f t="shared" si="33"/>
        <v>642473</v>
      </c>
      <c r="AO90" s="315">
        <f t="shared" si="33"/>
        <v>642473</v>
      </c>
      <c r="AP90" s="315">
        <f t="shared" si="33"/>
        <v>642473</v>
      </c>
      <c r="AQ90" s="315">
        <f t="shared" si="33"/>
        <v>642473</v>
      </c>
    </row>
    <row r="91" spans="1:44" ht="13.35" customHeight="1">
      <c r="B91" s="142" t="str">
        <f t="shared" si="29"/>
        <v>Domaine Julien Guillon</v>
      </c>
      <c r="C91" s="145">
        <f t="shared" si="29"/>
        <v>164165</v>
      </c>
      <c r="D91" s="322">
        <f t="shared" si="29"/>
        <v>43311</v>
      </c>
      <c r="E91" s="323">
        <f t="shared" si="29"/>
        <v>5</v>
      </c>
      <c r="F91" s="315">
        <f t="shared" si="30"/>
        <v>164165</v>
      </c>
      <c r="G91" s="315">
        <f t="shared" si="30"/>
        <v>164165</v>
      </c>
      <c r="H91" s="315">
        <f t="shared" si="30"/>
        <v>164165</v>
      </c>
      <c r="I91" s="315">
        <f t="shared" si="30"/>
        <v>164165</v>
      </c>
      <c r="J91" s="315">
        <f t="shared" si="30"/>
        <v>164165</v>
      </c>
      <c r="K91" s="315">
        <f t="shared" si="30"/>
        <v>164165</v>
      </c>
      <c r="L91" s="315">
        <f t="shared" si="30"/>
        <v>164165</v>
      </c>
      <c r="M91" s="315">
        <f t="shared" si="30"/>
        <v>164165</v>
      </c>
      <c r="N91" s="315">
        <f t="shared" si="30"/>
        <v>164165</v>
      </c>
      <c r="O91" s="315">
        <f t="shared" si="30"/>
        <v>164165</v>
      </c>
      <c r="P91" s="315">
        <f t="shared" si="31"/>
        <v>164165</v>
      </c>
      <c r="Q91" s="315">
        <f t="shared" si="31"/>
        <v>164165</v>
      </c>
      <c r="R91" s="315">
        <f t="shared" si="31"/>
        <v>164165</v>
      </c>
      <c r="S91" s="315">
        <f t="shared" si="31"/>
        <v>164165</v>
      </c>
      <c r="T91" s="315">
        <f t="shared" si="31"/>
        <v>164165</v>
      </c>
      <c r="U91" s="315">
        <f t="shared" si="31"/>
        <v>164165</v>
      </c>
      <c r="V91" s="315">
        <f t="shared" si="31"/>
        <v>164165</v>
      </c>
      <c r="W91" s="315">
        <f t="shared" si="31"/>
        <v>164165</v>
      </c>
      <c r="X91" s="315">
        <f t="shared" si="31"/>
        <v>164165</v>
      </c>
      <c r="Y91" s="315">
        <f t="shared" si="31"/>
        <v>164165</v>
      </c>
      <c r="Z91" s="315">
        <f t="shared" si="32"/>
        <v>164165</v>
      </c>
      <c r="AA91" s="315">
        <f t="shared" si="32"/>
        <v>164165</v>
      </c>
      <c r="AB91" s="315">
        <f t="shared" si="32"/>
        <v>164165</v>
      </c>
      <c r="AC91" s="315">
        <f t="shared" si="32"/>
        <v>164165</v>
      </c>
      <c r="AD91" s="315">
        <f t="shared" si="32"/>
        <v>164165</v>
      </c>
      <c r="AE91" s="315">
        <f t="shared" si="32"/>
        <v>164165</v>
      </c>
      <c r="AF91" s="315">
        <f t="shared" si="32"/>
        <v>164165</v>
      </c>
      <c r="AG91" s="315">
        <f t="shared" si="32"/>
        <v>164165</v>
      </c>
      <c r="AH91" s="315">
        <f t="shared" si="32"/>
        <v>164165</v>
      </c>
      <c r="AI91" s="315">
        <f t="shared" si="32"/>
        <v>164165</v>
      </c>
      <c r="AJ91" s="315">
        <f t="shared" si="33"/>
        <v>164165</v>
      </c>
      <c r="AK91" s="315">
        <f t="shared" si="33"/>
        <v>164165</v>
      </c>
      <c r="AL91" s="315">
        <f t="shared" si="33"/>
        <v>164165</v>
      </c>
      <c r="AM91" s="315">
        <f t="shared" si="33"/>
        <v>164165</v>
      </c>
      <c r="AN91" s="315">
        <f t="shared" si="33"/>
        <v>164165</v>
      </c>
      <c r="AO91" s="315">
        <f t="shared" si="33"/>
        <v>164165</v>
      </c>
      <c r="AP91" s="315">
        <f t="shared" si="33"/>
        <v>164165</v>
      </c>
      <c r="AQ91" s="315">
        <f t="shared" si="33"/>
        <v>164165</v>
      </c>
    </row>
    <row r="92" spans="1:44" ht="13.35" customHeight="1">
      <c r="B92" s="142" t="str">
        <f t="shared" si="29"/>
        <v xml:space="preserve">Iverstine Family Farm </v>
      </c>
      <c r="C92" s="145">
        <f t="shared" si="29"/>
        <v>265536</v>
      </c>
      <c r="D92" s="322">
        <f t="shared" si="29"/>
        <v>43335</v>
      </c>
      <c r="E92" s="323">
        <f t="shared" si="29"/>
        <v>5</v>
      </c>
      <c r="F92" s="315">
        <f t="shared" si="30"/>
        <v>265536</v>
      </c>
      <c r="G92" s="315">
        <f t="shared" si="30"/>
        <v>265536</v>
      </c>
      <c r="H92" s="315">
        <f t="shared" si="30"/>
        <v>265536</v>
      </c>
      <c r="I92" s="315">
        <f t="shared" si="30"/>
        <v>265536</v>
      </c>
      <c r="J92" s="315">
        <f t="shared" si="30"/>
        <v>265536</v>
      </c>
      <c r="K92" s="315">
        <f t="shared" si="30"/>
        <v>265536</v>
      </c>
      <c r="L92" s="315">
        <f t="shared" si="30"/>
        <v>265536</v>
      </c>
      <c r="M92" s="315">
        <f t="shared" si="30"/>
        <v>265536</v>
      </c>
      <c r="N92" s="315">
        <f t="shared" si="30"/>
        <v>265536</v>
      </c>
      <c r="O92" s="315">
        <f t="shared" si="30"/>
        <v>265536</v>
      </c>
      <c r="P92" s="315">
        <f t="shared" si="31"/>
        <v>265536</v>
      </c>
      <c r="Q92" s="315">
        <f t="shared" si="31"/>
        <v>265536</v>
      </c>
      <c r="R92" s="315">
        <f t="shared" si="31"/>
        <v>265536</v>
      </c>
      <c r="S92" s="315">
        <f t="shared" si="31"/>
        <v>265536</v>
      </c>
      <c r="T92" s="315">
        <f t="shared" si="31"/>
        <v>265536</v>
      </c>
      <c r="U92" s="315">
        <f t="shared" si="31"/>
        <v>265536</v>
      </c>
      <c r="V92" s="315">
        <f t="shared" si="31"/>
        <v>265536</v>
      </c>
      <c r="W92" s="315">
        <f t="shared" si="31"/>
        <v>265536</v>
      </c>
      <c r="X92" s="315">
        <f t="shared" si="31"/>
        <v>265536</v>
      </c>
      <c r="Y92" s="315">
        <f t="shared" si="31"/>
        <v>265536</v>
      </c>
      <c r="Z92" s="315">
        <f t="shared" si="32"/>
        <v>265536</v>
      </c>
      <c r="AA92" s="315">
        <f t="shared" si="32"/>
        <v>265536</v>
      </c>
      <c r="AB92" s="315">
        <f t="shared" si="32"/>
        <v>265536</v>
      </c>
      <c r="AC92" s="315">
        <f t="shared" si="32"/>
        <v>265536</v>
      </c>
      <c r="AD92" s="315">
        <f t="shared" si="32"/>
        <v>265536</v>
      </c>
      <c r="AE92" s="315">
        <f t="shared" si="32"/>
        <v>265536</v>
      </c>
      <c r="AF92" s="315">
        <f t="shared" si="32"/>
        <v>265536</v>
      </c>
      <c r="AG92" s="315">
        <f t="shared" si="32"/>
        <v>265536</v>
      </c>
      <c r="AH92" s="315">
        <f t="shared" si="32"/>
        <v>265536</v>
      </c>
      <c r="AI92" s="315">
        <f t="shared" si="32"/>
        <v>265536</v>
      </c>
      <c r="AJ92" s="315">
        <f t="shared" si="33"/>
        <v>265536</v>
      </c>
      <c r="AK92" s="315">
        <f t="shared" si="33"/>
        <v>265536</v>
      </c>
      <c r="AL92" s="315">
        <f t="shared" si="33"/>
        <v>265536</v>
      </c>
      <c r="AM92" s="315">
        <f t="shared" si="33"/>
        <v>265536</v>
      </c>
      <c r="AN92" s="315">
        <f t="shared" si="33"/>
        <v>265536</v>
      </c>
      <c r="AO92" s="315">
        <f t="shared" si="33"/>
        <v>265536</v>
      </c>
      <c r="AP92" s="315">
        <f t="shared" si="33"/>
        <v>265536</v>
      </c>
      <c r="AQ92" s="315">
        <f t="shared" si="33"/>
        <v>265536</v>
      </c>
    </row>
    <row r="93" spans="1:44" ht="13.35" customHeight="1">
      <c r="B93" s="142" t="str">
        <f t="shared" si="29"/>
        <v xml:space="preserve">Dusty Roads Farm </v>
      </c>
      <c r="C93" s="145">
        <f t="shared" si="29"/>
        <v>58927</v>
      </c>
      <c r="D93" s="322">
        <f t="shared" si="29"/>
        <v>43392</v>
      </c>
      <c r="E93" s="323">
        <f t="shared" si="29"/>
        <v>5</v>
      </c>
      <c r="F93" s="315">
        <f t="shared" si="30"/>
        <v>58927</v>
      </c>
      <c r="G93" s="315">
        <f t="shared" si="30"/>
        <v>58927</v>
      </c>
      <c r="H93" s="315">
        <f t="shared" si="30"/>
        <v>58927</v>
      </c>
      <c r="I93" s="315">
        <f t="shared" si="30"/>
        <v>58927</v>
      </c>
      <c r="J93" s="315">
        <f t="shared" si="30"/>
        <v>58927</v>
      </c>
      <c r="K93" s="315">
        <f t="shared" si="30"/>
        <v>58927</v>
      </c>
      <c r="L93" s="315">
        <f t="shared" si="30"/>
        <v>58927</v>
      </c>
      <c r="M93" s="315">
        <f t="shared" si="30"/>
        <v>58927</v>
      </c>
      <c r="N93" s="315">
        <f t="shared" si="30"/>
        <v>58927</v>
      </c>
      <c r="O93" s="315">
        <f t="shared" si="30"/>
        <v>58927</v>
      </c>
      <c r="P93" s="315">
        <f t="shared" si="31"/>
        <v>58927</v>
      </c>
      <c r="Q93" s="315">
        <f t="shared" si="31"/>
        <v>58927</v>
      </c>
      <c r="R93" s="315">
        <f t="shared" si="31"/>
        <v>58927</v>
      </c>
      <c r="S93" s="315">
        <f t="shared" si="31"/>
        <v>58927</v>
      </c>
      <c r="T93" s="315">
        <f t="shared" si="31"/>
        <v>58927</v>
      </c>
      <c r="U93" s="315">
        <f t="shared" si="31"/>
        <v>58927</v>
      </c>
      <c r="V93" s="315">
        <f t="shared" si="31"/>
        <v>58927</v>
      </c>
      <c r="W93" s="315">
        <f t="shared" si="31"/>
        <v>58927</v>
      </c>
      <c r="X93" s="315">
        <f t="shared" si="31"/>
        <v>58927</v>
      </c>
      <c r="Y93" s="315">
        <f t="shared" si="31"/>
        <v>58927</v>
      </c>
      <c r="Z93" s="315">
        <f t="shared" si="32"/>
        <v>58927</v>
      </c>
      <c r="AA93" s="315">
        <f t="shared" si="32"/>
        <v>58927</v>
      </c>
      <c r="AB93" s="315">
        <f t="shared" si="32"/>
        <v>58927</v>
      </c>
      <c r="AC93" s="315">
        <f t="shared" si="32"/>
        <v>58927</v>
      </c>
      <c r="AD93" s="315">
        <f t="shared" si="32"/>
        <v>58927</v>
      </c>
      <c r="AE93" s="315">
        <f t="shared" si="32"/>
        <v>58927</v>
      </c>
      <c r="AF93" s="315">
        <f t="shared" si="32"/>
        <v>58927</v>
      </c>
      <c r="AG93" s="315">
        <f t="shared" si="32"/>
        <v>58927</v>
      </c>
      <c r="AH93" s="315">
        <f t="shared" si="32"/>
        <v>58927</v>
      </c>
      <c r="AI93" s="315">
        <f t="shared" si="32"/>
        <v>58927</v>
      </c>
      <c r="AJ93" s="315">
        <f t="shared" si="33"/>
        <v>58927</v>
      </c>
      <c r="AK93" s="315">
        <f t="shared" si="33"/>
        <v>58927</v>
      </c>
      <c r="AL93" s="315">
        <f t="shared" si="33"/>
        <v>58927</v>
      </c>
      <c r="AM93" s="315">
        <f t="shared" si="33"/>
        <v>58927</v>
      </c>
      <c r="AN93" s="315">
        <f t="shared" si="33"/>
        <v>58927</v>
      </c>
      <c r="AO93" s="315">
        <f t="shared" si="33"/>
        <v>58927</v>
      </c>
      <c r="AP93" s="315">
        <f t="shared" si="33"/>
        <v>58927</v>
      </c>
      <c r="AQ93" s="315">
        <f t="shared" si="33"/>
        <v>58927</v>
      </c>
    </row>
    <row r="94" spans="1:44" ht="13.35" customHeight="1">
      <c r="B94" s="142" t="str">
        <f t="shared" si="29"/>
        <v>ShangriLa Farms / Stewardship Sustainable Farm</v>
      </c>
      <c r="C94" s="145">
        <f t="shared" si="29"/>
        <v>397239</v>
      </c>
      <c r="D94" s="322">
        <f t="shared" si="29"/>
        <v>43438</v>
      </c>
      <c r="E94" s="323">
        <f t="shared" si="29"/>
        <v>5</v>
      </c>
      <c r="F94" s="315">
        <f t="shared" si="30"/>
        <v>397239</v>
      </c>
      <c r="G94" s="315">
        <f t="shared" si="30"/>
        <v>397239</v>
      </c>
      <c r="H94" s="315">
        <f t="shared" si="30"/>
        <v>397239</v>
      </c>
      <c r="I94" s="315">
        <f t="shared" si="30"/>
        <v>397239</v>
      </c>
      <c r="J94" s="315">
        <f t="shared" si="30"/>
        <v>397239</v>
      </c>
      <c r="K94" s="315">
        <f t="shared" si="30"/>
        <v>397239</v>
      </c>
      <c r="L94" s="315">
        <f t="shared" si="30"/>
        <v>397239</v>
      </c>
      <c r="M94" s="315">
        <f t="shared" si="30"/>
        <v>397239</v>
      </c>
      <c r="N94" s="315">
        <f t="shared" si="30"/>
        <v>397239</v>
      </c>
      <c r="O94" s="315">
        <f t="shared" si="30"/>
        <v>397239</v>
      </c>
      <c r="P94" s="315">
        <f t="shared" si="31"/>
        <v>397239</v>
      </c>
      <c r="Q94" s="315">
        <f t="shared" si="31"/>
        <v>397239</v>
      </c>
      <c r="R94" s="315">
        <f t="shared" si="31"/>
        <v>397239</v>
      </c>
      <c r="S94" s="315">
        <f t="shared" si="31"/>
        <v>397239</v>
      </c>
      <c r="T94" s="315">
        <f t="shared" si="31"/>
        <v>397239</v>
      </c>
      <c r="U94" s="315">
        <f t="shared" si="31"/>
        <v>397239</v>
      </c>
      <c r="V94" s="315">
        <f t="shared" si="31"/>
        <v>397239</v>
      </c>
      <c r="W94" s="315">
        <f t="shared" si="31"/>
        <v>397239</v>
      </c>
      <c r="X94" s="315">
        <f t="shared" si="31"/>
        <v>397239</v>
      </c>
      <c r="Y94" s="315">
        <f t="shared" si="31"/>
        <v>397239</v>
      </c>
      <c r="Z94" s="315">
        <f t="shared" si="32"/>
        <v>397239</v>
      </c>
      <c r="AA94" s="315">
        <f t="shared" si="32"/>
        <v>397239</v>
      </c>
      <c r="AB94" s="315">
        <f t="shared" si="32"/>
        <v>397239</v>
      </c>
      <c r="AC94" s="315">
        <f t="shared" si="32"/>
        <v>397239</v>
      </c>
      <c r="AD94" s="315">
        <f t="shared" si="32"/>
        <v>397239</v>
      </c>
      <c r="AE94" s="315">
        <f t="shared" si="32"/>
        <v>397239</v>
      </c>
      <c r="AF94" s="315">
        <f t="shared" si="32"/>
        <v>397239</v>
      </c>
      <c r="AG94" s="315">
        <f t="shared" si="32"/>
        <v>397239</v>
      </c>
      <c r="AH94" s="315">
        <f t="shared" si="32"/>
        <v>397239</v>
      </c>
      <c r="AI94" s="315">
        <f t="shared" si="32"/>
        <v>397239</v>
      </c>
      <c r="AJ94" s="315">
        <f t="shared" si="33"/>
        <v>397239</v>
      </c>
      <c r="AK94" s="315">
        <f t="shared" si="33"/>
        <v>397239</v>
      </c>
      <c r="AL94" s="315">
        <f t="shared" si="33"/>
        <v>397239</v>
      </c>
      <c r="AM94" s="315">
        <f t="shared" si="33"/>
        <v>397239</v>
      </c>
      <c r="AN94" s="315">
        <f t="shared" si="33"/>
        <v>397239</v>
      </c>
      <c r="AO94" s="315">
        <f t="shared" si="33"/>
        <v>397239</v>
      </c>
      <c r="AP94" s="315">
        <f t="shared" si="33"/>
        <v>397239</v>
      </c>
      <c r="AQ94" s="315">
        <f t="shared" si="33"/>
        <v>397239</v>
      </c>
    </row>
    <row r="95" spans="1:44" ht="13.35" customHeight="1">
      <c r="B95" s="142" t="str">
        <f t="shared" si="29"/>
        <v>Naked Acres</v>
      </c>
      <c r="C95" s="145">
        <f t="shared" si="29"/>
        <v>100000</v>
      </c>
      <c r="D95" s="322">
        <f t="shared" si="29"/>
        <v>43521</v>
      </c>
      <c r="E95" s="323">
        <f t="shared" si="29"/>
        <v>5</v>
      </c>
      <c r="F95" s="315">
        <f t="shared" si="30"/>
        <v>100000</v>
      </c>
      <c r="G95" s="315">
        <f t="shared" si="30"/>
        <v>100000</v>
      </c>
      <c r="H95" s="315">
        <f t="shared" si="30"/>
        <v>100000</v>
      </c>
      <c r="I95" s="315">
        <f t="shared" si="30"/>
        <v>100000</v>
      </c>
      <c r="J95" s="315">
        <f t="shared" si="30"/>
        <v>100000</v>
      </c>
      <c r="K95" s="315">
        <f t="shared" si="30"/>
        <v>100000</v>
      </c>
      <c r="L95" s="315">
        <f t="shared" si="30"/>
        <v>100000</v>
      </c>
      <c r="M95" s="315">
        <f t="shared" si="30"/>
        <v>100000</v>
      </c>
      <c r="N95" s="315">
        <f t="shared" si="30"/>
        <v>100000</v>
      </c>
      <c r="O95" s="315">
        <f t="shared" si="30"/>
        <v>100000</v>
      </c>
      <c r="P95" s="315">
        <f t="shared" si="31"/>
        <v>100000</v>
      </c>
      <c r="Q95" s="315">
        <f t="shared" si="31"/>
        <v>100000</v>
      </c>
      <c r="R95" s="315">
        <f t="shared" si="31"/>
        <v>100000</v>
      </c>
      <c r="S95" s="315">
        <f t="shared" si="31"/>
        <v>100000</v>
      </c>
      <c r="T95" s="315">
        <f t="shared" si="31"/>
        <v>100000</v>
      </c>
      <c r="U95" s="315">
        <f t="shared" si="31"/>
        <v>100000</v>
      </c>
      <c r="V95" s="315">
        <f t="shared" si="31"/>
        <v>100000</v>
      </c>
      <c r="W95" s="315">
        <f t="shared" si="31"/>
        <v>100000</v>
      </c>
      <c r="X95" s="315">
        <f t="shared" si="31"/>
        <v>100000</v>
      </c>
      <c r="Y95" s="315">
        <f t="shared" si="31"/>
        <v>100000</v>
      </c>
      <c r="Z95" s="315">
        <f t="shared" si="32"/>
        <v>100000</v>
      </c>
      <c r="AA95" s="315">
        <f t="shared" si="32"/>
        <v>100000</v>
      </c>
      <c r="AB95" s="315">
        <f t="shared" si="32"/>
        <v>100000</v>
      </c>
      <c r="AC95" s="315">
        <f t="shared" si="32"/>
        <v>100000</v>
      </c>
      <c r="AD95" s="315">
        <f t="shared" si="32"/>
        <v>100000</v>
      </c>
      <c r="AE95" s="315">
        <f t="shared" si="32"/>
        <v>100000</v>
      </c>
      <c r="AF95" s="315">
        <f t="shared" si="32"/>
        <v>100000</v>
      </c>
      <c r="AG95" s="315">
        <f t="shared" si="32"/>
        <v>100000</v>
      </c>
      <c r="AH95" s="315">
        <f t="shared" si="32"/>
        <v>100000</v>
      </c>
      <c r="AI95" s="315">
        <f t="shared" si="32"/>
        <v>100000</v>
      </c>
      <c r="AJ95" s="315">
        <f t="shared" si="33"/>
        <v>100000</v>
      </c>
      <c r="AK95" s="315">
        <f t="shared" si="33"/>
        <v>100000</v>
      </c>
      <c r="AL95" s="315">
        <f t="shared" si="33"/>
        <v>100000</v>
      </c>
      <c r="AM95" s="315">
        <f t="shared" si="33"/>
        <v>100000</v>
      </c>
      <c r="AN95" s="315">
        <f t="shared" si="33"/>
        <v>100000</v>
      </c>
      <c r="AO95" s="315">
        <f t="shared" si="33"/>
        <v>100000</v>
      </c>
      <c r="AP95" s="315">
        <f t="shared" si="33"/>
        <v>100000</v>
      </c>
      <c r="AQ95" s="315">
        <f t="shared" si="33"/>
        <v>100000</v>
      </c>
    </row>
    <row r="96" spans="1:44" ht="13.35" customHeight="1">
      <c r="B96" s="142" t="str">
        <f t="shared" si="29"/>
        <v>Fleischer Family Farm</v>
      </c>
      <c r="C96" s="145">
        <f t="shared" si="29"/>
        <v>147769</v>
      </c>
      <c r="D96" s="322">
        <f t="shared" si="29"/>
        <v>43525</v>
      </c>
      <c r="E96" s="323">
        <f t="shared" si="29"/>
        <v>5</v>
      </c>
      <c r="F96" s="315">
        <f t="shared" si="30"/>
        <v>147769</v>
      </c>
      <c r="G96" s="315">
        <f t="shared" si="30"/>
        <v>147769</v>
      </c>
      <c r="H96" s="315">
        <f t="shared" si="30"/>
        <v>147769</v>
      </c>
      <c r="I96" s="315">
        <f t="shared" si="30"/>
        <v>147769</v>
      </c>
      <c r="J96" s="315">
        <f t="shared" si="30"/>
        <v>147769</v>
      </c>
      <c r="K96" s="315">
        <f t="shared" si="30"/>
        <v>147769</v>
      </c>
      <c r="L96" s="315">
        <f t="shared" si="30"/>
        <v>147769</v>
      </c>
      <c r="M96" s="315">
        <f t="shared" si="30"/>
        <v>147769</v>
      </c>
      <c r="N96" s="315">
        <f t="shared" si="30"/>
        <v>147769</v>
      </c>
      <c r="O96" s="315">
        <f t="shared" si="30"/>
        <v>147769</v>
      </c>
      <c r="P96" s="315">
        <f t="shared" si="31"/>
        <v>147769</v>
      </c>
      <c r="Q96" s="315">
        <f t="shared" si="31"/>
        <v>147769</v>
      </c>
      <c r="R96" s="315">
        <f t="shared" si="31"/>
        <v>147769</v>
      </c>
      <c r="S96" s="315">
        <f t="shared" si="31"/>
        <v>147769</v>
      </c>
      <c r="T96" s="315">
        <f t="shared" si="31"/>
        <v>147769</v>
      </c>
      <c r="U96" s="315">
        <f t="shared" si="31"/>
        <v>147769</v>
      </c>
      <c r="V96" s="315">
        <f t="shared" si="31"/>
        <v>147769</v>
      </c>
      <c r="W96" s="315">
        <f t="shared" si="31"/>
        <v>147769</v>
      </c>
      <c r="X96" s="315">
        <f t="shared" si="31"/>
        <v>147769</v>
      </c>
      <c r="Y96" s="315">
        <f t="shared" si="31"/>
        <v>147769</v>
      </c>
      <c r="Z96" s="315">
        <f t="shared" si="32"/>
        <v>147769</v>
      </c>
      <c r="AA96" s="315">
        <f t="shared" si="32"/>
        <v>147769</v>
      </c>
      <c r="AB96" s="315">
        <f t="shared" si="32"/>
        <v>147769</v>
      </c>
      <c r="AC96" s="315">
        <f t="shared" si="32"/>
        <v>147769</v>
      </c>
      <c r="AD96" s="315">
        <f t="shared" si="32"/>
        <v>147769</v>
      </c>
      <c r="AE96" s="315">
        <f t="shared" si="32"/>
        <v>147769</v>
      </c>
      <c r="AF96" s="315">
        <f t="shared" si="32"/>
        <v>147769</v>
      </c>
      <c r="AG96" s="315">
        <f t="shared" si="32"/>
        <v>147769</v>
      </c>
      <c r="AH96" s="315">
        <f t="shared" si="32"/>
        <v>147769</v>
      </c>
      <c r="AI96" s="315">
        <f t="shared" si="32"/>
        <v>147769</v>
      </c>
      <c r="AJ96" s="315">
        <f t="shared" si="33"/>
        <v>147769</v>
      </c>
      <c r="AK96" s="315">
        <f t="shared" si="33"/>
        <v>147769</v>
      </c>
      <c r="AL96" s="315">
        <f t="shared" si="33"/>
        <v>147769</v>
      </c>
      <c r="AM96" s="315">
        <f t="shared" si="33"/>
        <v>147769</v>
      </c>
      <c r="AN96" s="315">
        <f t="shared" si="33"/>
        <v>147769</v>
      </c>
      <c r="AO96" s="315">
        <f t="shared" si="33"/>
        <v>147769</v>
      </c>
      <c r="AP96" s="315">
        <f t="shared" si="33"/>
        <v>147769</v>
      </c>
      <c r="AQ96" s="315">
        <f t="shared" si="33"/>
        <v>147769</v>
      </c>
    </row>
    <row r="97" spans="1:44" ht="13.35" customHeight="1">
      <c r="B97" s="142" t="str">
        <f t="shared" si="29"/>
        <v>Tru Livin' Farms</v>
      </c>
      <c r="C97" s="145">
        <f t="shared" si="29"/>
        <v>27126</v>
      </c>
      <c r="D97" s="322">
        <f t="shared" si="29"/>
        <v>43536</v>
      </c>
      <c r="E97" s="323">
        <f t="shared" si="29"/>
        <v>5</v>
      </c>
      <c r="F97" s="315">
        <f t="shared" ref="F97:O102" si="34">IF(AND(F$5&gt;=$D97,F$5&lt;=EOMONTH($D97,$C$8*12)),$C97,0)</f>
        <v>27126</v>
      </c>
      <c r="G97" s="315">
        <f t="shared" si="34"/>
        <v>27126</v>
      </c>
      <c r="H97" s="315">
        <f t="shared" si="34"/>
        <v>27126</v>
      </c>
      <c r="I97" s="315">
        <f t="shared" si="34"/>
        <v>27126</v>
      </c>
      <c r="J97" s="315">
        <f t="shared" si="34"/>
        <v>27126</v>
      </c>
      <c r="K97" s="315">
        <f t="shared" si="34"/>
        <v>27126</v>
      </c>
      <c r="L97" s="315">
        <f t="shared" si="34"/>
        <v>27126</v>
      </c>
      <c r="M97" s="315">
        <f t="shared" si="34"/>
        <v>27126</v>
      </c>
      <c r="N97" s="315">
        <f t="shared" si="34"/>
        <v>27126</v>
      </c>
      <c r="O97" s="315">
        <f t="shared" si="34"/>
        <v>27126</v>
      </c>
      <c r="P97" s="315">
        <f t="shared" ref="P97:Y102" si="35">IF(AND(P$5&gt;=$D97,P$5&lt;=EOMONTH($D97,$C$8*12)),$C97,0)</f>
        <v>27126</v>
      </c>
      <c r="Q97" s="315">
        <f t="shared" si="35"/>
        <v>27126</v>
      </c>
      <c r="R97" s="315">
        <f t="shared" si="35"/>
        <v>27126</v>
      </c>
      <c r="S97" s="315">
        <f t="shared" si="35"/>
        <v>27126</v>
      </c>
      <c r="T97" s="315">
        <f t="shared" si="35"/>
        <v>27126</v>
      </c>
      <c r="U97" s="315">
        <f t="shared" si="35"/>
        <v>27126</v>
      </c>
      <c r="V97" s="315">
        <f t="shared" si="35"/>
        <v>27126</v>
      </c>
      <c r="W97" s="315">
        <f t="shared" si="35"/>
        <v>27126</v>
      </c>
      <c r="X97" s="315">
        <f t="shared" si="35"/>
        <v>27126</v>
      </c>
      <c r="Y97" s="315">
        <f t="shared" si="35"/>
        <v>27126</v>
      </c>
      <c r="Z97" s="315">
        <f t="shared" ref="Z97:AI102" si="36">IF(AND(Z$5&gt;=$D97,Z$5&lt;=EOMONTH($D97,$C$8*12)),$C97,0)</f>
        <v>27126</v>
      </c>
      <c r="AA97" s="315">
        <f t="shared" si="36"/>
        <v>27126</v>
      </c>
      <c r="AB97" s="315">
        <f t="shared" si="36"/>
        <v>27126</v>
      </c>
      <c r="AC97" s="315">
        <f t="shared" si="36"/>
        <v>27126</v>
      </c>
      <c r="AD97" s="315">
        <f t="shared" si="36"/>
        <v>27126</v>
      </c>
      <c r="AE97" s="315">
        <f t="shared" si="36"/>
        <v>27126</v>
      </c>
      <c r="AF97" s="315">
        <f t="shared" si="36"/>
        <v>27126</v>
      </c>
      <c r="AG97" s="315">
        <f t="shared" si="36"/>
        <v>27126</v>
      </c>
      <c r="AH97" s="315">
        <f t="shared" si="36"/>
        <v>27126</v>
      </c>
      <c r="AI97" s="315">
        <f t="shared" si="36"/>
        <v>27126</v>
      </c>
      <c r="AJ97" s="315">
        <f t="shared" ref="AJ97:AQ102" si="37">IF(AND(AJ$5&gt;=$D97,AJ$5&lt;=EOMONTH($D97,$C$8*12)),$C97,0)</f>
        <v>27126</v>
      </c>
      <c r="AK97" s="315">
        <f t="shared" si="37"/>
        <v>27126</v>
      </c>
      <c r="AL97" s="315">
        <f t="shared" si="37"/>
        <v>27126</v>
      </c>
      <c r="AM97" s="315">
        <f t="shared" si="37"/>
        <v>27126</v>
      </c>
      <c r="AN97" s="315">
        <f t="shared" si="37"/>
        <v>27126</v>
      </c>
      <c r="AO97" s="315">
        <f t="shared" si="37"/>
        <v>27126</v>
      </c>
      <c r="AP97" s="315">
        <f t="shared" si="37"/>
        <v>27126</v>
      </c>
      <c r="AQ97" s="315">
        <f t="shared" si="37"/>
        <v>27126</v>
      </c>
    </row>
    <row r="98" spans="1:44" ht="13.35" customHeight="1">
      <c r="B98" s="142" t="str">
        <f t="shared" si="29"/>
        <v>Red Rooster Farms</v>
      </c>
      <c r="C98" s="145">
        <f t="shared" si="29"/>
        <v>10988</v>
      </c>
      <c r="D98" s="322">
        <f t="shared" si="29"/>
        <v>43537</v>
      </c>
      <c r="E98" s="323">
        <f t="shared" si="29"/>
        <v>5</v>
      </c>
      <c r="F98" s="315">
        <f t="shared" si="34"/>
        <v>10988</v>
      </c>
      <c r="G98" s="315">
        <f t="shared" si="34"/>
        <v>10988</v>
      </c>
      <c r="H98" s="315">
        <f t="shared" si="34"/>
        <v>10988</v>
      </c>
      <c r="I98" s="315">
        <f t="shared" si="34"/>
        <v>10988</v>
      </c>
      <c r="J98" s="315">
        <f t="shared" si="34"/>
        <v>10988</v>
      </c>
      <c r="K98" s="315">
        <f t="shared" si="34"/>
        <v>10988</v>
      </c>
      <c r="L98" s="315">
        <f t="shared" si="34"/>
        <v>10988</v>
      </c>
      <c r="M98" s="315">
        <f t="shared" si="34"/>
        <v>10988</v>
      </c>
      <c r="N98" s="315">
        <f t="shared" si="34"/>
        <v>10988</v>
      </c>
      <c r="O98" s="315">
        <f t="shared" si="34"/>
        <v>10988</v>
      </c>
      <c r="P98" s="315">
        <f t="shared" si="35"/>
        <v>10988</v>
      </c>
      <c r="Q98" s="315">
        <f t="shared" si="35"/>
        <v>10988</v>
      </c>
      <c r="R98" s="315">
        <f t="shared" si="35"/>
        <v>10988</v>
      </c>
      <c r="S98" s="315">
        <f t="shared" si="35"/>
        <v>10988</v>
      </c>
      <c r="T98" s="315">
        <f t="shared" si="35"/>
        <v>10988</v>
      </c>
      <c r="U98" s="315">
        <f t="shared" si="35"/>
        <v>10988</v>
      </c>
      <c r="V98" s="315">
        <f t="shared" si="35"/>
        <v>10988</v>
      </c>
      <c r="W98" s="315">
        <f t="shared" si="35"/>
        <v>10988</v>
      </c>
      <c r="X98" s="315">
        <f t="shared" si="35"/>
        <v>10988</v>
      </c>
      <c r="Y98" s="315">
        <f t="shared" si="35"/>
        <v>10988</v>
      </c>
      <c r="Z98" s="315">
        <f t="shared" si="36"/>
        <v>10988</v>
      </c>
      <c r="AA98" s="315">
        <f t="shared" si="36"/>
        <v>10988</v>
      </c>
      <c r="AB98" s="315">
        <f t="shared" si="36"/>
        <v>10988</v>
      </c>
      <c r="AC98" s="315">
        <f t="shared" si="36"/>
        <v>10988</v>
      </c>
      <c r="AD98" s="315">
        <f t="shared" si="36"/>
        <v>10988</v>
      </c>
      <c r="AE98" s="315">
        <f t="shared" si="36"/>
        <v>10988</v>
      </c>
      <c r="AF98" s="315">
        <f t="shared" si="36"/>
        <v>10988</v>
      </c>
      <c r="AG98" s="315">
        <f t="shared" si="36"/>
        <v>10988</v>
      </c>
      <c r="AH98" s="315">
        <f t="shared" si="36"/>
        <v>10988</v>
      </c>
      <c r="AI98" s="315">
        <f t="shared" si="36"/>
        <v>10988</v>
      </c>
      <c r="AJ98" s="315">
        <f t="shared" si="37"/>
        <v>10988</v>
      </c>
      <c r="AK98" s="315">
        <f t="shared" si="37"/>
        <v>10988</v>
      </c>
      <c r="AL98" s="315">
        <f t="shared" si="37"/>
        <v>10988</v>
      </c>
      <c r="AM98" s="315">
        <f t="shared" si="37"/>
        <v>10988</v>
      </c>
      <c r="AN98" s="315">
        <f t="shared" si="37"/>
        <v>10988</v>
      </c>
      <c r="AO98" s="315">
        <f t="shared" si="37"/>
        <v>10988</v>
      </c>
      <c r="AP98" s="315">
        <f t="shared" si="37"/>
        <v>10988</v>
      </c>
      <c r="AQ98" s="315">
        <f t="shared" si="37"/>
        <v>10988</v>
      </c>
    </row>
    <row r="99" spans="1:44" ht="13.35" customHeight="1">
      <c r="B99" s="142" t="str">
        <f t="shared" si="29"/>
        <v>Avrom Farms</v>
      </c>
      <c r="C99" s="145">
        <f t="shared" si="29"/>
        <v>32874</v>
      </c>
      <c r="D99" s="322">
        <f t="shared" si="29"/>
        <v>43537</v>
      </c>
      <c r="E99" s="323">
        <f t="shared" si="29"/>
        <v>5</v>
      </c>
      <c r="F99" s="315">
        <f t="shared" si="34"/>
        <v>32874</v>
      </c>
      <c r="G99" s="315">
        <f t="shared" si="34"/>
        <v>32874</v>
      </c>
      <c r="H99" s="315">
        <f t="shared" si="34"/>
        <v>32874</v>
      </c>
      <c r="I99" s="315">
        <f t="shared" si="34"/>
        <v>32874</v>
      </c>
      <c r="J99" s="315">
        <f t="shared" si="34"/>
        <v>32874</v>
      </c>
      <c r="K99" s="315">
        <f t="shared" si="34"/>
        <v>32874</v>
      </c>
      <c r="L99" s="315">
        <f t="shared" si="34"/>
        <v>32874</v>
      </c>
      <c r="M99" s="315">
        <f t="shared" si="34"/>
        <v>32874</v>
      </c>
      <c r="N99" s="315">
        <f t="shared" si="34"/>
        <v>32874</v>
      </c>
      <c r="O99" s="315">
        <f t="shared" si="34"/>
        <v>32874</v>
      </c>
      <c r="P99" s="315">
        <f t="shared" si="35"/>
        <v>32874</v>
      </c>
      <c r="Q99" s="315">
        <f t="shared" si="35"/>
        <v>32874</v>
      </c>
      <c r="R99" s="315">
        <f t="shared" si="35"/>
        <v>32874</v>
      </c>
      <c r="S99" s="315">
        <f t="shared" si="35"/>
        <v>32874</v>
      </c>
      <c r="T99" s="315">
        <f t="shared" si="35"/>
        <v>32874</v>
      </c>
      <c r="U99" s="315">
        <f t="shared" si="35"/>
        <v>32874</v>
      </c>
      <c r="V99" s="315">
        <f t="shared" si="35"/>
        <v>32874</v>
      </c>
      <c r="W99" s="315">
        <f t="shared" si="35"/>
        <v>32874</v>
      </c>
      <c r="X99" s="315">
        <f t="shared" si="35"/>
        <v>32874</v>
      </c>
      <c r="Y99" s="315">
        <f t="shared" si="35"/>
        <v>32874</v>
      </c>
      <c r="Z99" s="315">
        <f t="shared" si="36"/>
        <v>32874</v>
      </c>
      <c r="AA99" s="315">
        <f t="shared" si="36"/>
        <v>32874</v>
      </c>
      <c r="AB99" s="315">
        <f t="shared" si="36"/>
        <v>32874</v>
      </c>
      <c r="AC99" s="315">
        <f t="shared" si="36"/>
        <v>32874</v>
      </c>
      <c r="AD99" s="315">
        <f t="shared" si="36"/>
        <v>32874</v>
      </c>
      <c r="AE99" s="315">
        <f t="shared" si="36"/>
        <v>32874</v>
      </c>
      <c r="AF99" s="315">
        <f t="shared" si="36"/>
        <v>32874</v>
      </c>
      <c r="AG99" s="315">
        <f t="shared" si="36"/>
        <v>32874</v>
      </c>
      <c r="AH99" s="315">
        <f t="shared" si="36"/>
        <v>32874</v>
      </c>
      <c r="AI99" s="315">
        <f t="shared" si="36"/>
        <v>32874</v>
      </c>
      <c r="AJ99" s="315">
        <f t="shared" si="37"/>
        <v>32874</v>
      </c>
      <c r="AK99" s="315">
        <f t="shared" si="37"/>
        <v>32874</v>
      </c>
      <c r="AL99" s="315">
        <f t="shared" si="37"/>
        <v>32874</v>
      </c>
      <c r="AM99" s="315">
        <f t="shared" si="37"/>
        <v>32874</v>
      </c>
      <c r="AN99" s="315">
        <f t="shared" si="37"/>
        <v>32874</v>
      </c>
      <c r="AO99" s="315">
        <f t="shared" si="37"/>
        <v>32874</v>
      </c>
      <c r="AP99" s="315">
        <f t="shared" si="37"/>
        <v>32874</v>
      </c>
      <c r="AQ99" s="315">
        <f t="shared" si="37"/>
        <v>32874</v>
      </c>
    </row>
    <row r="100" spans="1:44" ht="13.35" customHeight="1">
      <c r="B100" s="142" t="str">
        <f t="shared" si="29"/>
        <v>Clear Creek Family Farm</v>
      </c>
      <c r="C100" s="145">
        <f t="shared" si="29"/>
        <v>21717</v>
      </c>
      <c r="D100" s="322">
        <f t="shared" si="29"/>
        <v>43544</v>
      </c>
      <c r="E100" s="323">
        <f t="shared" si="29"/>
        <v>5</v>
      </c>
      <c r="F100" s="315">
        <f t="shared" si="34"/>
        <v>21717</v>
      </c>
      <c r="G100" s="315">
        <f t="shared" si="34"/>
        <v>21717</v>
      </c>
      <c r="H100" s="315">
        <f t="shared" si="34"/>
        <v>21717</v>
      </c>
      <c r="I100" s="315">
        <f t="shared" si="34"/>
        <v>21717</v>
      </c>
      <c r="J100" s="315">
        <f t="shared" si="34"/>
        <v>21717</v>
      </c>
      <c r="K100" s="315">
        <f t="shared" si="34"/>
        <v>21717</v>
      </c>
      <c r="L100" s="315">
        <f t="shared" si="34"/>
        <v>21717</v>
      </c>
      <c r="M100" s="315">
        <f t="shared" si="34"/>
        <v>21717</v>
      </c>
      <c r="N100" s="315">
        <f t="shared" si="34"/>
        <v>21717</v>
      </c>
      <c r="O100" s="315">
        <f t="shared" si="34"/>
        <v>21717</v>
      </c>
      <c r="P100" s="315">
        <f t="shared" si="35"/>
        <v>21717</v>
      </c>
      <c r="Q100" s="315">
        <f t="shared" si="35"/>
        <v>21717</v>
      </c>
      <c r="R100" s="315">
        <f t="shared" si="35"/>
        <v>21717</v>
      </c>
      <c r="S100" s="315">
        <f t="shared" si="35"/>
        <v>21717</v>
      </c>
      <c r="T100" s="315">
        <f t="shared" si="35"/>
        <v>21717</v>
      </c>
      <c r="U100" s="315">
        <f t="shared" si="35"/>
        <v>21717</v>
      </c>
      <c r="V100" s="315">
        <f t="shared" si="35"/>
        <v>21717</v>
      </c>
      <c r="W100" s="315">
        <f t="shared" si="35"/>
        <v>21717</v>
      </c>
      <c r="X100" s="315">
        <f t="shared" si="35"/>
        <v>21717</v>
      </c>
      <c r="Y100" s="315">
        <f t="shared" si="35"/>
        <v>21717</v>
      </c>
      <c r="Z100" s="315">
        <f t="shared" si="36"/>
        <v>21717</v>
      </c>
      <c r="AA100" s="315">
        <f t="shared" si="36"/>
        <v>21717</v>
      </c>
      <c r="AB100" s="315">
        <f t="shared" si="36"/>
        <v>21717</v>
      </c>
      <c r="AC100" s="315">
        <f t="shared" si="36"/>
        <v>21717</v>
      </c>
      <c r="AD100" s="315">
        <f t="shared" si="36"/>
        <v>21717</v>
      </c>
      <c r="AE100" s="315">
        <f t="shared" si="36"/>
        <v>21717</v>
      </c>
      <c r="AF100" s="315">
        <f t="shared" si="36"/>
        <v>21717</v>
      </c>
      <c r="AG100" s="315">
        <f t="shared" si="36"/>
        <v>21717</v>
      </c>
      <c r="AH100" s="315">
        <f t="shared" si="36"/>
        <v>21717</v>
      </c>
      <c r="AI100" s="315">
        <f t="shared" si="36"/>
        <v>21717</v>
      </c>
      <c r="AJ100" s="315">
        <f t="shared" si="37"/>
        <v>21717</v>
      </c>
      <c r="AK100" s="315">
        <f t="shared" si="37"/>
        <v>21717</v>
      </c>
      <c r="AL100" s="315">
        <f t="shared" si="37"/>
        <v>21717</v>
      </c>
      <c r="AM100" s="315">
        <f t="shared" si="37"/>
        <v>21717</v>
      </c>
      <c r="AN100" s="315">
        <f t="shared" si="37"/>
        <v>21717</v>
      </c>
      <c r="AO100" s="315">
        <f t="shared" si="37"/>
        <v>21717</v>
      </c>
      <c r="AP100" s="315">
        <f t="shared" si="37"/>
        <v>21717</v>
      </c>
      <c r="AQ100" s="315">
        <f t="shared" si="37"/>
        <v>21717</v>
      </c>
    </row>
    <row r="101" spans="1:44" ht="13.35" customHeight="1">
      <c r="B101" s="142" t="str">
        <f t="shared" si="29"/>
        <v>Kubed Root</v>
      </c>
      <c r="C101" s="145">
        <f t="shared" si="29"/>
        <v>5526</v>
      </c>
      <c r="D101" s="322">
        <f t="shared" si="29"/>
        <v>43571</v>
      </c>
      <c r="E101" s="323">
        <f t="shared" si="29"/>
        <v>5</v>
      </c>
      <c r="F101" s="315">
        <f t="shared" si="34"/>
        <v>5526</v>
      </c>
      <c r="G101" s="315">
        <f t="shared" si="34"/>
        <v>5526</v>
      </c>
      <c r="H101" s="315">
        <f t="shared" si="34"/>
        <v>5526</v>
      </c>
      <c r="I101" s="315">
        <f t="shared" si="34"/>
        <v>5526</v>
      </c>
      <c r="J101" s="315">
        <f t="shared" si="34"/>
        <v>5526</v>
      </c>
      <c r="K101" s="315">
        <f t="shared" si="34"/>
        <v>5526</v>
      </c>
      <c r="L101" s="315">
        <f t="shared" si="34"/>
        <v>5526</v>
      </c>
      <c r="M101" s="315">
        <f t="shared" si="34"/>
        <v>5526</v>
      </c>
      <c r="N101" s="315">
        <f t="shared" si="34"/>
        <v>5526</v>
      </c>
      <c r="O101" s="315">
        <f t="shared" si="34"/>
        <v>5526</v>
      </c>
      <c r="P101" s="315">
        <f t="shared" si="35"/>
        <v>5526</v>
      </c>
      <c r="Q101" s="315">
        <f t="shared" si="35"/>
        <v>5526</v>
      </c>
      <c r="R101" s="315">
        <f t="shared" si="35"/>
        <v>5526</v>
      </c>
      <c r="S101" s="315">
        <f t="shared" si="35"/>
        <v>5526</v>
      </c>
      <c r="T101" s="315">
        <f t="shared" si="35"/>
        <v>5526</v>
      </c>
      <c r="U101" s="315">
        <f t="shared" si="35"/>
        <v>5526</v>
      </c>
      <c r="V101" s="315">
        <f t="shared" si="35"/>
        <v>5526</v>
      </c>
      <c r="W101" s="315">
        <f t="shared" si="35"/>
        <v>5526</v>
      </c>
      <c r="X101" s="315">
        <f t="shared" si="35"/>
        <v>5526</v>
      </c>
      <c r="Y101" s="315">
        <f t="shared" si="35"/>
        <v>5526</v>
      </c>
      <c r="Z101" s="315">
        <f t="shared" si="36"/>
        <v>5526</v>
      </c>
      <c r="AA101" s="315">
        <f t="shared" si="36"/>
        <v>5526</v>
      </c>
      <c r="AB101" s="315">
        <f t="shared" si="36"/>
        <v>5526</v>
      </c>
      <c r="AC101" s="315">
        <f t="shared" si="36"/>
        <v>5526</v>
      </c>
      <c r="AD101" s="315">
        <f t="shared" si="36"/>
        <v>5526</v>
      </c>
      <c r="AE101" s="315">
        <f t="shared" si="36"/>
        <v>5526</v>
      </c>
      <c r="AF101" s="315">
        <f t="shared" si="36"/>
        <v>5526</v>
      </c>
      <c r="AG101" s="315">
        <f t="shared" si="36"/>
        <v>5526</v>
      </c>
      <c r="AH101" s="315">
        <f t="shared" si="36"/>
        <v>5526</v>
      </c>
      <c r="AI101" s="315">
        <f t="shared" si="36"/>
        <v>5526</v>
      </c>
      <c r="AJ101" s="315">
        <f t="shared" si="37"/>
        <v>5526</v>
      </c>
      <c r="AK101" s="315">
        <f t="shared" si="37"/>
        <v>5526</v>
      </c>
      <c r="AL101" s="315">
        <f t="shared" si="37"/>
        <v>5526</v>
      </c>
      <c r="AM101" s="315">
        <f t="shared" si="37"/>
        <v>5526</v>
      </c>
      <c r="AN101" s="315">
        <f t="shared" si="37"/>
        <v>5526</v>
      </c>
      <c r="AO101" s="315">
        <f t="shared" si="37"/>
        <v>5526</v>
      </c>
      <c r="AP101" s="315">
        <f t="shared" si="37"/>
        <v>5526</v>
      </c>
      <c r="AQ101" s="315">
        <f t="shared" si="37"/>
        <v>5526</v>
      </c>
    </row>
    <row r="102" spans="1:44" ht="13.35" customHeight="1">
      <c r="B102" s="142" t="str">
        <f t="shared" si="29"/>
        <v>Sierra Valley Farm</v>
      </c>
      <c r="C102" s="145">
        <f t="shared" si="29"/>
        <v>0</v>
      </c>
      <c r="D102" s="322">
        <f t="shared" si="29"/>
        <v>43656</v>
      </c>
      <c r="E102" s="323">
        <f t="shared" si="29"/>
        <v>5</v>
      </c>
      <c r="F102" s="315">
        <f t="shared" si="34"/>
        <v>0</v>
      </c>
      <c r="G102" s="315">
        <f t="shared" si="34"/>
        <v>0</v>
      </c>
      <c r="H102" s="315">
        <f t="shared" si="34"/>
        <v>0</v>
      </c>
      <c r="I102" s="315">
        <f t="shared" si="34"/>
        <v>0</v>
      </c>
      <c r="J102" s="315">
        <f t="shared" si="34"/>
        <v>0</v>
      </c>
      <c r="K102" s="315">
        <f t="shared" si="34"/>
        <v>0</v>
      </c>
      <c r="L102" s="315">
        <f t="shared" si="34"/>
        <v>0</v>
      </c>
      <c r="M102" s="315">
        <f t="shared" si="34"/>
        <v>0</v>
      </c>
      <c r="N102" s="315">
        <f t="shared" si="34"/>
        <v>0</v>
      </c>
      <c r="O102" s="315">
        <f t="shared" si="34"/>
        <v>0</v>
      </c>
      <c r="P102" s="315">
        <f t="shared" si="35"/>
        <v>0</v>
      </c>
      <c r="Q102" s="315">
        <f t="shared" si="35"/>
        <v>0</v>
      </c>
      <c r="R102" s="315">
        <f t="shared" si="35"/>
        <v>0</v>
      </c>
      <c r="S102" s="315">
        <f t="shared" si="35"/>
        <v>0</v>
      </c>
      <c r="T102" s="315">
        <f t="shared" si="35"/>
        <v>0</v>
      </c>
      <c r="U102" s="315">
        <f t="shared" si="35"/>
        <v>0</v>
      </c>
      <c r="V102" s="315">
        <f t="shared" si="35"/>
        <v>0</v>
      </c>
      <c r="W102" s="315">
        <f t="shared" si="35"/>
        <v>0</v>
      </c>
      <c r="X102" s="315">
        <f t="shared" si="35"/>
        <v>0</v>
      </c>
      <c r="Y102" s="315">
        <f t="shared" si="35"/>
        <v>0</v>
      </c>
      <c r="Z102" s="315">
        <f t="shared" si="36"/>
        <v>0</v>
      </c>
      <c r="AA102" s="315">
        <f t="shared" si="36"/>
        <v>0</v>
      </c>
      <c r="AB102" s="315">
        <f t="shared" si="36"/>
        <v>0</v>
      </c>
      <c r="AC102" s="315">
        <f t="shared" si="36"/>
        <v>0</v>
      </c>
      <c r="AD102" s="315">
        <f t="shared" si="36"/>
        <v>0</v>
      </c>
      <c r="AE102" s="315">
        <f t="shared" si="36"/>
        <v>0</v>
      </c>
      <c r="AF102" s="315">
        <f t="shared" si="36"/>
        <v>0</v>
      </c>
      <c r="AG102" s="315">
        <f t="shared" si="36"/>
        <v>0</v>
      </c>
      <c r="AH102" s="315">
        <f t="shared" si="36"/>
        <v>0</v>
      </c>
      <c r="AI102" s="315">
        <f t="shared" si="36"/>
        <v>0</v>
      </c>
      <c r="AJ102" s="315">
        <f t="shared" si="37"/>
        <v>0</v>
      </c>
      <c r="AK102" s="315">
        <f t="shared" si="37"/>
        <v>0</v>
      </c>
      <c r="AL102" s="315">
        <f t="shared" si="37"/>
        <v>0</v>
      </c>
      <c r="AM102" s="315">
        <f t="shared" si="37"/>
        <v>0</v>
      </c>
      <c r="AN102" s="315">
        <f t="shared" si="37"/>
        <v>0</v>
      </c>
      <c r="AO102" s="315">
        <f t="shared" si="37"/>
        <v>0</v>
      </c>
      <c r="AP102" s="315">
        <f t="shared" si="37"/>
        <v>0</v>
      </c>
      <c r="AQ102" s="315">
        <f t="shared" si="37"/>
        <v>0</v>
      </c>
    </row>
    <row r="103" spans="1:44" ht="13.35" customHeight="1">
      <c r="A103" s="124" t="s">
        <v>47</v>
      </c>
      <c r="B103" s="310" t="str">
        <f t="shared" si="29"/>
        <v>2020 New Loans to Existing Farms</v>
      </c>
      <c r="C103" s="307" t="str">
        <f t="shared" si="29"/>
        <v>Loan Size</v>
      </c>
      <c r="D103" s="307" t="str">
        <f t="shared" si="29"/>
        <v>Close Date</v>
      </c>
      <c r="E103" s="307" t="str">
        <f t="shared" si="29"/>
        <v>Term (Years)</v>
      </c>
      <c r="F103" s="308"/>
      <c r="G103" s="309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11"/>
      <c r="AR103" s="144"/>
    </row>
    <row r="104" spans="1:44" ht="13.35" customHeight="1">
      <c r="B104" s="142" t="str">
        <f t="shared" si="29"/>
        <v>ACRE Detroit</v>
      </c>
      <c r="C104" s="145">
        <f t="shared" si="29"/>
        <v>0</v>
      </c>
      <c r="D104" s="322">
        <f t="shared" si="29"/>
        <v>43921</v>
      </c>
      <c r="E104" s="323">
        <f t="shared" si="29"/>
        <v>5</v>
      </c>
      <c r="F104" s="315">
        <f t="shared" ref="F104:O119" si="38">IF(AND(F$5&gt;=$D104,F$5&lt;=EOMONTH($D104,$C$8*12)),$C104,0)</f>
        <v>0</v>
      </c>
      <c r="G104" s="315">
        <f t="shared" si="38"/>
        <v>0</v>
      </c>
      <c r="H104" s="315">
        <f t="shared" si="38"/>
        <v>0</v>
      </c>
      <c r="I104" s="315">
        <f t="shared" si="38"/>
        <v>0</v>
      </c>
      <c r="J104" s="315">
        <f t="shared" si="38"/>
        <v>0</v>
      </c>
      <c r="K104" s="315">
        <f t="shared" si="38"/>
        <v>0</v>
      </c>
      <c r="L104" s="315">
        <f t="shared" si="38"/>
        <v>0</v>
      </c>
      <c r="M104" s="315">
        <f t="shared" si="38"/>
        <v>0</v>
      </c>
      <c r="N104" s="315">
        <f t="shared" si="38"/>
        <v>0</v>
      </c>
      <c r="O104" s="315">
        <f t="shared" si="38"/>
        <v>0</v>
      </c>
      <c r="P104" s="315">
        <f t="shared" ref="P104:Y119" si="39">IF(AND(P$5&gt;=$D104,P$5&lt;=EOMONTH($D104,$C$8*12)),$C104,0)</f>
        <v>0</v>
      </c>
      <c r="Q104" s="315">
        <f t="shared" si="39"/>
        <v>0</v>
      </c>
      <c r="R104" s="315">
        <f t="shared" si="39"/>
        <v>0</v>
      </c>
      <c r="S104" s="315">
        <f t="shared" si="39"/>
        <v>0</v>
      </c>
      <c r="T104" s="315">
        <f t="shared" si="39"/>
        <v>0</v>
      </c>
      <c r="U104" s="315">
        <f t="shared" si="39"/>
        <v>0</v>
      </c>
      <c r="V104" s="315">
        <f t="shared" si="39"/>
        <v>0</v>
      </c>
      <c r="W104" s="315">
        <f t="shared" si="39"/>
        <v>0</v>
      </c>
      <c r="X104" s="315">
        <f t="shared" si="39"/>
        <v>0</v>
      </c>
      <c r="Y104" s="315">
        <f t="shared" si="39"/>
        <v>0</v>
      </c>
      <c r="Z104" s="315">
        <f t="shared" ref="Z104:AI119" si="40">IF(AND(Z$5&gt;=$D104,Z$5&lt;=EOMONTH($D104,$C$8*12)),$C104,0)</f>
        <v>0</v>
      </c>
      <c r="AA104" s="315">
        <f t="shared" si="40"/>
        <v>0</v>
      </c>
      <c r="AB104" s="315">
        <f t="shared" si="40"/>
        <v>0</v>
      </c>
      <c r="AC104" s="315">
        <f t="shared" si="40"/>
        <v>0</v>
      </c>
      <c r="AD104" s="315">
        <f t="shared" si="40"/>
        <v>0</v>
      </c>
      <c r="AE104" s="315">
        <f t="shared" si="40"/>
        <v>0</v>
      </c>
      <c r="AF104" s="315">
        <f t="shared" si="40"/>
        <v>0</v>
      </c>
      <c r="AG104" s="315">
        <f t="shared" si="40"/>
        <v>0</v>
      </c>
      <c r="AH104" s="315">
        <f t="shared" si="40"/>
        <v>0</v>
      </c>
      <c r="AI104" s="315">
        <f t="shared" si="40"/>
        <v>0</v>
      </c>
      <c r="AJ104" s="315">
        <f t="shared" ref="AJ104:AQ119" si="41">IF(AND(AJ$5&gt;=$D104,AJ$5&lt;=EOMONTH($D104,$C$8*12)),$C104,0)</f>
        <v>0</v>
      </c>
      <c r="AK104" s="315">
        <f t="shared" si="41"/>
        <v>0</v>
      </c>
      <c r="AL104" s="315">
        <f t="shared" si="41"/>
        <v>0</v>
      </c>
      <c r="AM104" s="315">
        <f t="shared" si="41"/>
        <v>0</v>
      </c>
      <c r="AN104" s="315">
        <f t="shared" si="41"/>
        <v>0</v>
      </c>
      <c r="AO104" s="315">
        <f t="shared" si="41"/>
        <v>0</v>
      </c>
      <c r="AP104" s="315">
        <f t="shared" si="41"/>
        <v>0</v>
      </c>
      <c r="AQ104" s="315">
        <f t="shared" si="41"/>
        <v>0</v>
      </c>
    </row>
    <row r="105" spans="1:44" s="144" customFormat="1" ht="13.35" customHeight="1">
      <c r="A105" s="124"/>
      <c r="B105" s="142" t="str">
        <f t="shared" si="29"/>
        <v>Fisheye Farms</v>
      </c>
      <c r="C105" s="145">
        <f t="shared" si="29"/>
        <v>300000</v>
      </c>
      <c r="D105" s="322">
        <f t="shared" si="29"/>
        <v>44012</v>
      </c>
      <c r="E105" s="323">
        <f t="shared" si="29"/>
        <v>5</v>
      </c>
      <c r="F105" s="315">
        <f t="shared" si="38"/>
        <v>0</v>
      </c>
      <c r="G105" s="315">
        <f t="shared" si="38"/>
        <v>0</v>
      </c>
      <c r="H105" s="315">
        <f t="shared" si="38"/>
        <v>0</v>
      </c>
      <c r="I105" s="315">
        <f t="shared" si="38"/>
        <v>0</v>
      </c>
      <c r="J105" s="315">
        <f t="shared" si="38"/>
        <v>0</v>
      </c>
      <c r="K105" s="315">
        <f t="shared" si="38"/>
        <v>300000</v>
      </c>
      <c r="L105" s="315">
        <f t="shared" si="38"/>
        <v>300000</v>
      </c>
      <c r="M105" s="315">
        <f t="shared" si="38"/>
        <v>300000</v>
      </c>
      <c r="N105" s="315">
        <f t="shared" si="38"/>
        <v>300000</v>
      </c>
      <c r="O105" s="315">
        <f t="shared" si="38"/>
        <v>300000</v>
      </c>
      <c r="P105" s="315">
        <f t="shared" si="39"/>
        <v>300000</v>
      </c>
      <c r="Q105" s="315">
        <f t="shared" si="39"/>
        <v>300000</v>
      </c>
      <c r="R105" s="315">
        <f t="shared" si="39"/>
        <v>300000</v>
      </c>
      <c r="S105" s="315">
        <f t="shared" si="39"/>
        <v>300000</v>
      </c>
      <c r="T105" s="315">
        <f t="shared" si="39"/>
        <v>300000</v>
      </c>
      <c r="U105" s="315">
        <f t="shared" si="39"/>
        <v>300000</v>
      </c>
      <c r="V105" s="315">
        <f t="shared" si="39"/>
        <v>300000</v>
      </c>
      <c r="W105" s="315">
        <f t="shared" si="39"/>
        <v>300000</v>
      </c>
      <c r="X105" s="315">
        <f t="shared" si="39"/>
        <v>300000</v>
      </c>
      <c r="Y105" s="315">
        <f t="shared" si="39"/>
        <v>300000</v>
      </c>
      <c r="Z105" s="315">
        <f t="shared" si="40"/>
        <v>300000</v>
      </c>
      <c r="AA105" s="315">
        <f t="shared" si="40"/>
        <v>300000</v>
      </c>
      <c r="AB105" s="315">
        <f t="shared" si="40"/>
        <v>300000</v>
      </c>
      <c r="AC105" s="315">
        <f t="shared" si="40"/>
        <v>300000</v>
      </c>
      <c r="AD105" s="315">
        <f t="shared" si="40"/>
        <v>300000</v>
      </c>
      <c r="AE105" s="315">
        <f t="shared" si="40"/>
        <v>300000</v>
      </c>
      <c r="AF105" s="315">
        <f t="shared" si="40"/>
        <v>300000</v>
      </c>
      <c r="AG105" s="315">
        <f t="shared" si="40"/>
        <v>300000</v>
      </c>
      <c r="AH105" s="315">
        <f t="shared" si="40"/>
        <v>300000</v>
      </c>
      <c r="AI105" s="315">
        <f t="shared" si="40"/>
        <v>300000</v>
      </c>
      <c r="AJ105" s="315">
        <f t="shared" si="41"/>
        <v>300000</v>
      </c>
      <c r="AK105" s="315">
        <f t="shared" si="41"/>
        <v>300000</v>
      </c>
      <c r="AL105" s="315">
        <f t="shared" si="41"/>
        <v>300000</v>
      </c>
      <c r="AM105" s="315">
        <f t="shared" si="41"/>
        <v>300000</v>
      </c>
      <c r="AN105" s="315">
        <f t="shared" si="41"/>
        <v>300000</v>
      </c>
      <c r="AO105" s="315">
        <f t="shared" si="41"/>
        <v>300000</v>
      </c>
      <c r="AP105" s="315">
        <f t="shared" si="41"/>
        <v>300000</v>
      </c>
      <c r="AQ105" s="315">
        <f t="shared" si="41"/>
        <v>300000</v>
      </c>
    </row>
    <row r="106" spans="1:44" s="144" customFormat="1" ht="13.35" customHeight="1">
      <c r="A106" s="124"/>
      <c r="B106" s="142" t="str">
        <f t="shared" ref="B106:E119" si="42">B38</f>
        <v>Beiler’s Heritage Acres</v>
      </c>
      <c r="C106" s="145">
        <f t="shared" si="42"/>
        <v>500000</v>
      </c>
      <c r="D106" s="322">
        <f t="shared" si="42"/>
        <v>44043</v>
      </c>
      <c r="E106" s="323">
        <f t="shared" si="42"/>
        <v>5</v>
      </c>
      <c r="F106" s="315">
        <f t="shared" si="38"/>
        <v>0</v>
      </c>
      <c r="G106" s="315">
        <f t="shared" si="38"/>
        <v>0</v>
      </c>
      <c r="H106" s="315">
        <f t="shared" si="38"/>
        <v>0</v>
      </c>
      <c r="I106" s="315">
        <f t="shared" si="38"/>
        <v>0</v>
      </c>
      <c r="J106" s="315">
        <f t="shared" si="38"/>
        <v>0</v>
      </c>
      <c r="K106" s="315">
        <f t="shared" si="38"/>
        <v>0</v>
      </c>
      <c r="L106" s="315">
        <f t="shared" si="38"/>
        <v>500000</v>
      </c>
      <c r="M106" s="315">
        <f t="shared" si="38"/>
        <v>500000</v>
      </c>
      <c r="N106" s="315">
        <f t="shared" si="38"/>
        <v>500000</v>
      </c>
      <c r="O106" s="315">
        <f t="shared" si="38"/>
        <v>500000</v>
      </c>
      <c r="P106" s="315">
        <f t="shared" si="39"/>
        <v>500000</v>
      </c>
      <c r="Q106" s="315">
        <f t="shared" si="39"/>
        <v>500000</v>
      </c>
      <c r="R106" s="315">
        <f t="shared" si="39"/>
        <v>500000</v>
      </c>
      <c r="S106" s="315">
        <f t="shared" si="39"/>
        <v>500000</v>
      </c>
      <c r="T106" s="315">
        <f t="shared" si="39"/>
        <v>500000</v>
      </c>
      <c r="U106" s="315">
        <f t="shared" si="39"/>
        <v>500000</v>
      </c>
      <c r="V106" s="315">
        <f t="shared" si="39"/>
        <v>500000</v>
      </c>
      <c r="W106" s="315">
        <f t="shared" si="39"/>
        <v>500000</v>
      </c>
      <c r="X106" s="315">
        <f t="shared" si="39"/>
        <v>500000</v>
      </c>
      <c r="Y106" s="315">
        <f t="shared" si="39"/>
        <v>500000</v>
      </c>
      <c r="Z106" s="315">
        <f t="shared" si="40"/>
        <v>500000</v>
      </c>
      <c r="AA106" s="315">
        <f t="shared" si="40"/>
        <v>500000</v>
      </c>
      <c r="AB106" s="315">
        <f t="shared" si="40"/>
        <v>500000</v>
      </c>
      <c r="AC106" s="315">
        <f t="shared" si="40"/>
        <v>500000</v>
      </c>
      <c r="AD106" s="315">
        <f t="shared" si="40"/>
        <v>500000</v>
      </c>
      <c r="AE106" s="315">
        <f t="shared" si="40"/>
        <v>500000</v>
      </c>
      <c r="AF106" s="315">
        <f t="shared" si="40"/>
        <v>500000</v>
      </c>
      <c r="AG106" s="315">
        <f t="shared" si="40"/>
        <v>500000</v>
      </c>
      <c r="AH106" s="315">
        <f t="shared" si="40"/>
        <v>500000</v>
      </c>
      <c r="AI106" s="315">
        <f t="shared" si="40"/>
        <v>500000</v>
      </c>
      <c r="AJ106" s="315">
        <f t="shared" si="41"/>
        <v>500000</v>
      </c>
      <c r="AK106" s="315">
        <f t="shared" si="41"/>
        <v>500000</v>
      </c>
      <c r="AL106" s="315">
        <f t="shared" si="41"/>
        <v>500000</v>
      </c>
      <c r="AM106" s="315">
        <f t="shared" si="41"/>
        <v>500000</v>
      </c>
      <c r="AN106" s="315">
        <f t="shared" si="41"/>
        <v>500000</v>
      </c>
      <c r="AO106" s="315">
        <f t="shared" si="41"/>
        <v>500000</v>
      </c>
      <c r="AP106" s="315">
        <f t="shared" si="41"/>
        <v>500000</v>
      </c>
      <c r="AQ106" s="315">
        <f t="shared" si="41"/>
        <v>500000</v>
      </c>
    </row>
    <row r="107" spans="1:44" s="144" customFormat="1" ht="13.35" customHeight="1">
      <c r="A107" s="124"/>
      <c r="B107" s="142" t="str">
        <f t="shared" si="42"/>
        <v>Eastfork Cultivars / Hope Mountain</v>
      </c>
      <c r="C107" s="145">
        <f t="shared" si="42"/>
        <v>1000000</v>
      </c>
      <c r="D107" s="322">
        <f t="shared" si="42"/>
        <v>44043</v>
      </c>
      <c r="E107" s="323">
        <f t="shared" si="42"/>
        <v>5</v>
      </c>
      <c r="F107" s="315">
        <f t="shared" si="38"/>
        <v>0</v>
      </c>
      <c r="G107" s="315">
        <f t="shared" si="38"/>
        <v>0</v>
      </c>
      <c r="H107" s="315">
        <f t="shared" si="38"/>
        <v>0</v>
      </c>
      <c r="I107" s="315">
        <f t="shared" si="38"/>
        <v>0</v>
      </c>
      <c r="J107" s="315">
        <f t="shared" si="38"/>
        <v>0</v>
      </c>
      <c r="K107" s="315">
        <f t="shared" si="38"/>
        <v>0</v>
      </c>
      <c r="L107" s="315">
        <f t="shared" si="38"/>
        <v>1000000</v>
      </c>
      <c r="M107" s="315">
        <f t="shared" si="38"/>
        <v>1000000</v>
      </c>
      <c r="N107" s="315">
        <f t="shared" si="38"/>
        <v>1000000</v>
      </c>
      <c r="O107" s="315">
        <f t="shared" si="38"/>
        <v>1000000</v>
      </c>
      <c r="P107" s="315">
        <f t="shared" si="39"/>
        <v>1000000</v>
      </c>
      <c r="Q107" s="315">
        <f t="shared" si="39"/>
        <v>1000000</v>
      </c>
      <c r="R107" s="315">
        <f t="shared" si="39"/>
        <v>1000000</v>
      </c>
      <c r="S107" s="315">
        <f t="shared" si="39"/>
        <v>1000000</v>
      </c>
      <c r="T107" s="315">
        <f t="shared" si="39"/>
        <v>1000000</v>
      </c>
      <c r="U107" s="315">
        <f t="shared" si="39"/>
        <v>1000000</v>
      </c>
      <c r="V107" s="315">
        <f t="shared" si="39"/>
        <v>1000000</v>
      </c>
      <c r="W107" s="315">
        <f t="shared" si="39"/>
        <v>1000000</v>
      </c>
      <c r="X107" s="315">
        <f t="shared" si="39"/>
        <v>1000000</v>
      </c>
      <c r="Y107" s="315">
        <f t="shared" si="39"/>
        <v>1000000</v>
      </c>
      <c r="Z107" s="315">
        <f t="shared" si="40"/>
        <v>1000000</v>
      </c>
      <c r="AA107" s="315">
        <f t="shared" si="40"/>
        <v>1000000</v>
      </c>
      <c r="AB107" s="315">
        <f t="shared" si="40"/>
        <v>1000000</v>
      </c>
      <c r="AC107" s="315">
        <f t="shared" si="40"/>
        <v>1000000</v>
      </c>
      <c r="AD107" s="315">
        <f t="shared" si="40"/>
        <v>1000000</v>
      </c>
      <c r="AE107" s="315">
        <f t="shared" si="40"/>
        <v>1000000</v>
      </c>
      <c r="AF107" s="315">
        <f t="shared" si="40"/>
        <v>1000000</v>
      </c>
      <c r="AG107" s="315">
        <f t="shared" si="40"/>
        <v>1000000</v>
      </c>
      <c r="AH107" s="315">
        <f t="shared" si="40"/>
        <v>1000000</v>
      </c>
      <c r="AI107" s="315">
        <f t="shared" si="40"/>
        <v>1000000</v>
      </c>
      <c r="AJ107" s="315">
        <f t="shared" si="41"/>
        <v>1000000</v>
      </c>
      <c r="AK107" s="315">
        <f t="shared" si="41"/>
        <v>1000000</v>
      </c>
      <c r="AL107" s="315">
        <f t="shared" si="41"/>
        <v>1000000</v>
      </c>
      <c r="AM107" s="315">
        <f t="shared" si="41"/>
        <v>1000000</v>
      </c>
      <c r="AN107" s="315">
        <f t="shared" si="41"/>
        <v>1000000</v>
      </c>
      <c r="AO107" s="315">
        <f t="shared" si="41"/>
        <v>1000000</v>
      </c>
      <c r="AP107" s="315">
        <f t="shared" si="41"/>
        <v>1000000</v>
      </c>
      <c r="AQ107" s="315">
        <f t="shared" si="41"/>
        <v>1000000</v>
      </c>
    </row>
    <row r="108" spans="1:44" s="144" customFormat="1" ht="13.35" customHeight="1">
      <c r="A108" s="124"/>
      <c r="B108" s="142" t="str">
        <f t="shared" si="42"/>
        <v>Domaine Julien Guillon</v>
      </c>
      <c r="C108" s="145">
        <f t="shared" si="42"/>
        <v>500000</v>
      </c>
      <c r="D108" s="322">
        <f t="shared" si="42"/>
        <v>44074</v>
      </c>
      <c r="E108" s="323">
        <f t="shared" si="42"/>
        <v>5</v>
      </c>
      <c r="F108" s="315">
        <f t="shared" si="38"/>
        <v>0</v>
      </c>
      <c r="G108" s="315">
        <f t="shared" si="38"/>
        <v>0</v>
      </c>
      <c r="H108" s="315">
        <f t="shared" si="38"/>
        <v>0</v>
      </c>
      <c r="I108" s="315">
        <f t="shared" si="38"/>
        <v>0</v>
      </c>
      <c r="J108" s="315">
        <f t="shared" si="38"/>
        <v>0</v>
      </c>
      <c r="K108" s="315">
        <f t="shared" si="38"/>
        <v>0</v>
      </c>
      <c r="L108" s="315">
        <f t="shared" si="38"/>
        <v>0</v>
      </c>
      <c r="M108" s="315">
        <f t="shared" si="38"/>
        <v>500000</v>
      </c>
      <c r="N108" s="315">
        <f t="shared" si="38"/>
        <v>500000</v>
      </c>
      <c r="O108" s="315">
        <f t="shared" si="38"/>
        <v>500000</v>
      </c>
      <c r="P108" s="315">
        <f t="shared" si="39"/>
        <v>500000</v>
      </c>
      <c r="Q108" s="315">
        <f t="shared" si="39"/>
        <v>500000</v>
      </c>
      <c r="R108" s="315">
        <f t="shared" si="39"/>
        <v>500000</v>
      </c>
      <c r="S108" s="315">
        <f t="shared" si="39"/>
        <v>500000</v>
      </c>
      <c r="T108" s="315">
        <f t="shared" si="39"/>
        <v>500000</v>
      </c>
      <c r="U108" s="315">
        <f t="shared" si="39"/>
        <v>500000</v>
      </c>
      <c r="V108" s="315">
        <f t="shared" si="39"/>
        <v>500000</v>
      </c>
      <c r="W108" s="315">
        <f t="shared" si="39"/>
        <v>500000</v>
      </c>
      <c r="X108" s="315">
        <f t="shared" si="39"/>
        <v>500000</v>
      </c>
      <c r="Y108" s="315">
        <f t="shared" si="39"/>
        <v>500000</v>
      </c>
      <c r="Z108" s="315">
        <f t="shared" si="40"/>
        <v>500000</v>
      </c>
      <c r="AA108" s="315">
        <f t="shared" si="40"/>
        <v>500000</v>
      </c>
      <c r="AB108" s="315">
        <f t="shared" si="40"/>
        <v>500000</v>
      </c>
      <c r="AC108" s="315">
        <f t="shared" si="40"/>
        <v>500000</v>
      </c>
      <c r="AD108" s="315">
        <f t="shared" si="40"/>
        <v>500000</v>
      </c>
      <c r="AE108" s="315">
        <f t="shared" si="40"/>
        <v>500000</v>
      </c>
      <c r="AF108" s="315">
        <f t="shared" si="40"/>
        <v>500000</v>
      </c>
      <c r="AG108" s="315">
        <f t="shared" si="40"/>
        <v>500000</v>
      </c>
      <c r="AH108" s="315">
        <f t="shared" si="40"/>
        <v>500000</v>
      </c>
      <c r="AI108" s="315">
        <f t="shared" si="40"/>
        <v>500000</v>
      </c>
      <c r="AJ108" s="315">
        <f t="shared" si="41"/>
        <v>500000</v>
      </c>
      <c r="AK108" s="315">
        <f t="shared" si="41"/>
        <v>500000</v>
      </c>
      <c r="AL108" s="315">
        <f t="shared" si="41"/>
        <v>500000</v>
      </c>
      <c r="AM108" s="315">
        <f t="shared" si="41"/>
        <v>500000</v>
      </c>
      <c r="AN108" s="315">
        <f t="shared" si="41"/>
        <v>500000</v>
      </c>
      <c r="AO108" s="315">
        <f t="shared" si="41"/>
        <v>500000</v>
      </c>
      <c r="AP108" s="315">
        <f t="shared" si="41"/>
        <v>500000</v>
      </c>
      <c r="AQ108" s="315">
        <f t="shared" si="41"/>
        <v>500000</v>
      </c>
    </row>
    <row r="109" spans="1:44" s="144" customFormat="1" ht="13.35" customHeight="1">
      <c r="A109" s="124"/>
      <c r="B109" s="142" t="str">
        <f t="shared" si="42"/>
        <v xml:space="preserve">Iverstine Family Farm </v>
      </c>
      <c r="C109" s="145">
        <f t="shared" si="42"/>
        <v>750000</v>
      </c>
      <c r="D109" s="322">
        <f t="shared" si="42"/>
        <v>44074</v>
      </c>
      <c r="E109" s="323">
        <f t="shared" si="42"/>
        <v>5</v>
      </c>
      <c r="F109" s="315">
        <f t="shared" si="38"/>
        <v>0</v>
      </c>
      <c r="G109" s="315">
        <f t="shared" si="38"/>
        <v>0</v>
      </c>
      <c r="H109" s="315">
        <f t="shared" si="38"/>
        <v>0</v>
      </c>
      <c r="I109" s="315">
        <f t="shared" si="38"/>
        <v>0</v>
      </c>
      <c r="J109" s="315">
        <f t="shared" si="38"/>
        <v>0</v>
      </c>
      <c r="K109" s="315">
        <f t="shared" si="38"/>
        <v>0</v>
      </c>
      <c r="L109" s="315">
        <f t="shared" si="38"/>
        <v>0</v>
      </c>
      <c r="M109" s="315">
        <f t="shared" si="38"/>
        <v>750000</v>
      </c>
      <c r="N109" s="315">
        <f t="shared" si="38"/>
        <v>750000</v>
      </c>
      <c r="O109" s="315">
        <f t="shared" si="38"/>
        <v>750000</v>
      </c>
      <c r="P109" s="315">
        <f t="shared" si="39"/>
        <v>750000</v>
      </c>
      <c r="Q109" s="315">
        <f t="shared" si="39"/>
        <v>750000</v>
      </c>
      <c r="R109" s="315">
        <f t="shared" si="39"/>
        <v>750000</v>
      </c>
      <c r="S109" s="315">
        <f t="shared" si="39"/>
        <v>750000</v>
      </c>
      <c r="T109" s="315">
        <f t="shared" si="39"/>
        <v>750000</v>
      </c>
      <c r="U109" s="315">
        <f t="shared" si="39"/>
        <v>750000</v>
      </c>
      <c r="V109" s="315">
        <f t="shared" si="39"/>
        <v>750000</v>
      </c>
      <c r="W109" s="315">
        <f t="shared" si="39"/>
        <v>750000</v>
      </c>
      <c r="X109" s="315">
        <f t="shared" si="39"/>
        <v>750000</v>
      </c>
      <c r="Y109" s="315">
        <f t="shared" si="39"/>
        <v>750000</v>
      </c>
      <c r="Z109" s="315">
        <f t="shared" si="40"/>
        <v>750000</v>
      </c>
      <c r="AA109" s="315">
        <f t="shared" si="40"/>
        <v>750000</v>
      </c>
      <c r="AB109" s="315">
        <f t="shared" si="40"/>
        <v>750000</v>
      </c>
      <c r="AC109" s="315">
        <f t="shared" si="40"/>
        <v>750000</v>
      </c>
      <c r="AD109" s="315">
        <f t="shared" si="40"/>
        <v>750000</v>
      </c>
      <c r="AE109" s="315">
        <f t="shared" si="40"/>
        <v>750000</v>
      </c>
      <c r="AF109" s="315">
        <f t="shared" si="40"/>
        <v>750000</v>
      </c>
      <c r="AG109" s="315">
        <f t="shared" si="40"/>
        <v>750000</v>
      </c>
      <c r="AH109" s="315">
        <f t="shared" si="40"/>
        <v>750000</v>
      </c>
      <c r="AI109" s="315">
        <f t="shared" si="40"/>
        <v>750000</v>
      </c>
      <c r="AJ109" s="315">
        <f t="shared" si="41"/>
        <v>750000</v>
      </c>
      <c r="AK109" s="315">
        <f t="shared" si="41"/>
        <v>750000</v>
      </c>
      <c r="AL109" s="315">
        <f t="shared" si="41"/>
        <v>750000</v>
      </c>
      <c r="AM109" s="315">
        <f t="shared" si="41"/>
        <v>750000</v>
      </c>
      <c r="AN109" s="315">
        <f t="shared" si="41"/>
        <v>750000</v>
      </c>
      <c r="AO109" s="315">
        <f t="shared" si="41"/>
        <v>750000</v>
      </c>
      <c r="AP109" s="315">
        <f t="shared" si="41"/>
        <v>750000</v>
      </c>
      <c r="AQ109" s="315">
        <f t="shared" si="41"/>
        <v>750000</v>
      </c>
    </row>
    <row r="110" spans="1:44" s="144" customFormat="1" ht="13.35" customHeight="1">
      <c r="A110" s="124"/>
      <c r="B110" s="142" t="str">
        <f t="shared" si="42"/>
        <v xml:space="preserve">Dusty Roads Farm </v>
      </c>
      <c r="C110" s="145">
        <f t="shared" si="42"/>
        <v>100000</v>
      </c>
      <c r="D110" s="322">
        <f t="shared" si="42"/>
        <v>44074</v>
      </c>
      <c r="E110" s="323">
        <f t="shared" si="42"/>
        <v>5</v>
      </c>
      <c r="F110" s="315">
        <f t="shared" si="38"/>
        <v>0</v>
      </c>
      <c r="G110" s="315">
        <f t="shared" si="38"/>
        <v>0</v>
      </c>
      <c r="H110" s="315">
        <f t="shared" si="38"/>
        <v>0</v>
      </c>
      <c r="I110" s="315">
        <f t="shared" si="38"/>
        <v>0</v>
      </c>
      <c r="J110" s="315">
        <f t="shared" si="38"/>
        <v>0</v>
      </c>
      <c r="K110" s="315">
        <f t="shared" si="38"/>
        <v>0</v>
      </c>
      <c r="L110" s="315">
        <f t="shared" si="38"/>
        <v>0</v>
      </c>
      <c r="M110" s="315">
        <f t="shared" si="38"/>
        <v>100000</v>
      </c>
      <c r="N110" s="315">
        <f t="shared" si="38"/>
        <v>100000</v>
      </c>
      <c r="O110" s="315">
        <f t="shared" si="38"/>
        <v>100000</v>
      </c>
      <c r="P110" s="315">
        <f t="shared" si="39"/>
        <v>100000</v>
      </c>
      <c r="Q110" s="315">
        <f t="shared" si="39"/>
        <v>100000</v>
      </c>
      <c r="R110" s="315">
        <f t="shared" si="39"/>
        <v>100000</v>
      </c>
      <c r="S110" s="315">
        <f t="shared" si="39"/>
        <v>100000</v>
      </c>
      <c r="T110" s="315">
        <f t="shared" si="39"/>
        <v>100000</v>
      </c>
      <c r="U110" s="315">
        <f t="shared" si="39"/>
        <v>100000</v>
      </c>
      <c r="V110" s="315">
        <f t="shared" si="39"/>
        <v>100000</v>
      </c>
      <c r="W110" s="315">
        <f t="shared" si="39"/>
        <v>100000</v>
      </c>
      <c r="X110" s="315">
        <f t="shared" si="39"/>
        <v>100000</v>
      </c>
      <c r="Y110" s="315">
        <f t="shared" si="39"/>
        <v>100000</v>
      </c>
      <c r="Z110" s="315">
        <f t="shared" si="40"/>
        <v>100000</v>
      </c>
      <c r="AA110" s="315">
        <f t="shared" si="40"/>
        <v>100000</v>
      </c>
      <c r="AB110" s="315">
        <f t="shared" si="40"/>
        <v>100000</v>
      </c>
      <c r="AC110" s="315">
        <f t="shared" si="40"/>
        <v>100000</v>
      </c>
      <c r="AD110" s="315">
        <f t="shared" si="40"/>
        <v>100000</v>
      </c>
      <c r="AE110" s="315">
        <f t="shared" si="40"/>
        <v>100000</v>
      </c>
      <c r="AF110" s="315">
        <f t="shared" si="40"/>
        <v>100000</v>
      </c>
      <c r="AG110" s="315">
        <f t="shared" si="40"/>
        <v>100000</v>
      </c>
      <c r="AH110" s="315">
        <f t="shared" si="40"/>
        <v>100000</v>
      </c>
      <c r="AI110" s="315">
        <f t="shared" si="40"/>
        <v>100000</v>
      </c>
      <c r="AJ110" s="315">
        <f t="shared" si="41"/>
        <v>100000</v>
      </c>
      <c r="AK110" s="315">
        <f t="shared" si="41"/>
        <v>100000</v>
      </c>
      <c r="AL110" s="315">
        <f t="shared" si="41"/>
        <v>100000</v>
      </c>
      <c r="AM110" s="315">
        <f t="shared" si="41"/>
        <v>100000</v>
      </c>
      <c r="AN110" s="315">
        <f t="shared" si="41"/>
        <v>100000</v>
      </c>
      <c r="AO110" s="315">
        <f t="shared" si="41"/>
        <v>100000</v>
      </c>
      <c r="AP110" s="315">
        <f t="shared" si="41"/>
        <v>100000</v>
      </c>
      <c r="AQ110" s="315">
        <f t="shared" si="41"/>
        <v>100000</v>
      </c>
    </row>
    <row r="111" spans="1:44" s="144" customFormat="1" ht="13.35" customHeight="1">
      <c r="A111" s="124"/>
      <c r="B111" s="142" t="str">
        <f t="shared" si="42"/>
        <v>ShangriLa Farms / Stewardship Sustainable Farm</v>
      </c>
      <c r="C111" s="145">
        <f t="shared" si="42"/>
        <v>2000000</v>
      </c>
      <c r="D111" s="322">
        <f t="shared" si="42"/>
        <v>44104</v>
      </c>
      <c r="E111" s="323">
        <f t="shared" si="42"/>
        <v>5</v>
      </c>
      <c r="F111" s="315">
        <f t="shared" si="38"/>
        <v>0</v>
      </c>
      <c r="G111" s="315">
        <f t="shared" si="38"/>
        <v>0</v>
      </c>
      <c r="H111" s="315">
        <f t="shared" si="38"/>
        <v>0</v>
      </c>
      <c r="I111" s="315">
        <f t="shared" si="38"/>
        <v>0</v>
      </c>
      <c r="J111" s="315">
        <f t="shared" si="38"/>
        <v>0</v>
      </c>
      <c r="K111" s="315">
        <f t="shared" si="38"/>
        <v>0</v>
      </c>
      <c r="L111" s="315">
        <f t="shared" si="38"/>
        <v>0</v>
      </c>
      <c r="M111" s="315">
        <f t="shared" si="38"/>
        <v>0</v>
      </c>
      <c r="N111" s="315">
        <f t="shared" si="38"/>
        <v>2000000</v>
      </c>
      <c r="O111" s="315">
        <f t="shared" si="38"/>
        <v>2000000</v>
      </c>
      <c r="P111" s="315">
        <f t="shared" si="39"/>
        <v>2000000</v>
      </c>
      <c r="Q111" s="315">
        <f t="shared" si="39"/>
        <v>2000000</v>
      </c>
      <c r="R111" s="315">
        <f t="shared" si="39"/>
        <v>2000000</v>
      </c>
      <c r="S111" s="315">
        <f t="shared" si="39"/>
        <v>2000000</v>
      </c>
      <c r="T111" s="315">
        <f t="shared" si="39"/>
        <v>2000000</v>
      </c>
      <c r="U111" s="315">
        <f t="shared" si="39"/>
        <v>2000000</v>
      </c>
      <c r="V111" s="315">
        <f t="shared" si="39"/>
        <v>2000000</v>
      </c>
      <c r="W111" s="315">
        <f t="shared" si="39"/>
        <v>2000000</v>
      </c>
      <c r="X111" s="315">
        <f t="shared" si="39"/>
        <v>2000000</v>
      </c>
      <c r="Y111" s="315">
        <f t="shared" si="39"/>
        <v>2000000</v>
      </c>
      <c r="Z111" s="315">
        <f t="shared" si="40"/>
        <v>2000000</v>
      </c>
      <c r="AA111" s="315">
        <f t="shared" si="40"/>
        <v>2000000</v>
      </c>
      <c r="AB111" s="315">
        <f t="shared" si="40"/>
        <v>2000000</v>
      </c>
      <c r="AC111" s="315">
        <f t="shared" si="40"/>
        <v>2000000</v>
      </c>
      <c r="AD111" s="315">
        <f t="shared" si="40"/>
        <v>2000000</v>
      </c>
      <c r="AE111" s="315">
        <f t="shared" si="40"/>
        <v>2000000</v>
      </c>
      <c r="AF111" s="315">
        <f t="shared" si="40"/>
        <v>2000000</v>
      </c>
      <c r="AG111" s="315">
        <f t="shared" si="40"/>
        <v>2000000</v>
      </c>
      <c r="AH111" s="315">
        <f t="shared" si="40"/>
        <v>2000000</v>
      </c>
      <c r="AI111" s="315">
        <f t="shared" si="40"/>
        <v>2000000</v>
      </c>
      <c r="AJ111" s="315">
        <f t="shared" si="41"/>
        <v>2000000</v>
      </c>
      <c r="AK111" s="315">
        <f t="shared" si="41"/>
        <v>2000000</v>
      </c>
      <c r="AL111" s="315">
        <f t="shared" si="41"/>
        <v>2000000</v>
      </c>
      <c r="AM111" s="315">
        <f t="shared" si="41"/>
        <v>2000000</v>
      </c>
      <c r="AN111" s="315">
        <f t="shared" si="41"/>
        <v>2000000</v>
      </c>
      <c r="AO111" s="315">
        <f t="shared" si="41"/>
        <v>2000000</v>
      </c>
      <c r="AP111" s="315">
        <f t="shared" si="41"/>
        <v>2000000</v>
      </c>
      <c r="AQ111" s="315">
        <f t="shared" si="41"/>
        <v>2000000</v>
      </c>
    </row>
    <row r="112" spans="1:44" s="144" customFormat="1" ht="13.35" customHeight="1">
      <c r="A112" s="124"/>
      <c r="B112" s="142" t="str">
        <f t="shared" si="42"/>
        <v>Naked Acres</v>
      </c>
      <c r="C112" s="145">
        <f t="shared" si="42"/>
        <v>500000</v>
      </c>
      <c r="D112" s="322">
        <f t="shared" si="42"/>
        <v>44104</v>
      </c>
      <c r="E112" s="323">
        <f t="shared" si="42"/>
        <v>5</v>
      </c>
      <c r="F112" s="315">
        <f t="shared" si="38"/>
        <v>0</v>
      </c>
      <c r="G112" s="315">
        <f t="shared" si="38"/>
        <v>0</v>
      </c>
      <c r="H112" s="315">
        <f t="shared" si="38"/>
        <v>0</v>
      </c>
      <c r="I112" s="315">
        <f t="shared" si="38"/>
        <v>0</v>
      </c>
      <c r="J112" s="315">
        <f t="shared" si="38"/>
        <v>0</v>
      </c>
      <c r="K112" s="315">
        <f t="shared" si="38"/>
        <v>0</v>
      </c>
      <c r="L112" s="315">
        <f t="shared" si="38"/>
        <v>0</v>
      </c>
      <c r="M112" s="315">
        <f t="shared" si="38"/>
        <v>0</v>
      </c>
      <c r="N112" s="315">
        <f t="shared" si="38"/>
        <v>500000</v>
      </c>
      <c r="O112" s="315">
        <f t="shared" si="38"/>
        <v>500000</v>
      </c>
      <c r="P112" s="315">
        <f t="shared" si="39"/>
        <v>500000</v>
      </c>
      <c r="Q112" s="315">
        <f t="shared" si="39"/>
        <v>500000</v>
      </c>
      <c r="R112" s="315">
        <f t="shared" si="39"/>
        <v>500000</v>
      </c>
      <c r="S112" s="315">
        <f t="shared" si="39"/>
        <v>500000</v>
      </c>
      <c r="T112" s="315">
        <f t="shared" si="39"/>
        <v>500000</v>
      </c>
      <c r="U112" s="315">
        <f t="shared" si="39"/>
        <v>500000</v>
      </c>
      <c r="V112" s="315">
        <f t="shared" si="39"/>
        <v>500000</v>
      </c>
      <c r="W112" s="315">
        <f t="shared" si="39"/>
        <v>500000</v>
      </c>
      <c r="X112" s="315">
        <f t="shared" si="39"/>
        <v>500000</v>
      </c>
      <c r="Y112" s="315">
        <f t="shared" si="39"/>
        <v>500000</v>
      </c>
      <c r="Z112" s="315">
        <f t="shared" si="40"/>
        <v>500000</v>
      </c>
      <c r="AA112" s="315">
        <f t="shared" si="40"/>
        <v>500000</v>
      </c>
      <c r="AB112" s="315">
        <f t="shared" si="40"/>
        <v>500000</v>
      </c>
      <c r="AC112" s="315">
        <f t="shared" si="40"/>
        <v>500000</v>
      </c>
      <c r="AD112" s="315">
        <f t="shared" si="40"/>
        <v>500000</v>
      </c>
      <c r="AE112" s="315">
        <f t="shared" si="40"/>
        <v>500000</v>
      </c>
      <c r="AF112" s="315">
        <f t="shared" si="40"/>
        <v>500000</v>
      </c>
      <c r="AG112" s="315">
        <f t="shared" si="40"/>
        <v>500000</v>
      </c>
      <c r="AH112" s="315">
        <f t="shared" si="40"/>
        <v>500000</v>
      </c>
      <c r="AI112" s="315">
        <f t="shared" si="40"/>
        <v>500000</v>
      </c>
      <c r="AJ112" s="315">
        <f t="shared" si="41"/>
        <v>500000</v>
      </c>
      <c r="AK112" s="315">
        <f t="shared" si="41"/>
        <v>500000</v>
      </c>
      <c r="AL112" s="315">
        <f t="shared" si="41"/>
        <v>500000</v>
      </c>
      <c r="AM112" s="315">
        <f t="shared" si="41"/>
        <v>500000</v>
      </c>
      <c r="AN112" s="315">
        <f t="shared" si="41"/>
        <v>500000</v>
      </c>
      <c r="AO112" s="315">
        <f t="shared" si="41"/>
        <v>500000</v>
      </c>
      <c r="AP112" s="315">
        <f t="shared" si="41"/>
        <v>500000</v>
      </c>
      <c r="AQ112" s="315">
        <f t="shared" si="41"/>
        <v>500000</v>
      </c>
    </row>
    <row r="113" spans="1:43" s="144" customFormat="1" ht="13.35" customHeight="1">
      <c r="A113" s="124"/>
      <c r="B113" s="142" t="str">
        <f t="shared" si="42"/>
        <v>Fleischer Family Farm</v>
      </c>
      <c r="C113" s="145">
        <f t="shared" si="42"/>
        <v>200000</v>
      </c>
      <c r="D113" s="322">
        <f t="shared" si="42"/>
        <v>44104</v>
      </c>
      <c r="E113" s="323">
        <f t="shared" si="42"/>
        <v>5</v>
      </c>
      <c r="F113" s="315">
        <f t="shared" si="38"/>
        <v>0</v>
      </c>
      <c r="G113" s="315">
        <f t="shared" si="38"/>
        <v>0</v>
      </c>
      <c r="H113" s="315">
        <f t="shared" si="38"/>
        <v>0</v>
      </c>
      <c r="I113" s="315">
        <f t="shared" si="38"/>
        <v>0</v>
      </c>
      <c r="J113" s="315">
        <f t="shared" si="38"/>
        <v>0</v>
      </c>
      <c r="K113" s="315">
        <f t="shared" si="38"/>
        <v>0</v>
      </c>
      <c r="L113" s="315">
        <f t="shared" si="38"/>
        <v>0</v>
      </c>
      <c r="M113" s="315">
        <f t="shared" si="38"/>
        <v>0</v>
      </c>
      <c r="N113" s="315">
        <f t="shared" si="38"/>
        <v>200000</v>
      </c>
      <c r="O113" s="315">
        <f t="shared" si="38"/>
        <v>200000</v>
      </c>
      <c r="P113" s="315">
        <f t="shared" si="39"/>
        <v>200000</v>
      </c>
      <c r="Q113" s="315">
        <f t="shared" si="39"/>
        <v>200000</v>
      </c>
      <c r="R113" s="315">
        <f t="shared" si="39"/>
        <v>200000</v>
      </c>
      <c r="S113" s="315">
        <f t="shared" si="39"/>
        <v>200000</v>
      </c>
      <c r="T113" s="315">
        <f t="shared" si="39"/>
        <v>200000</v>
      </c>
      <c r="U113" s="315">
        <f t="shared" si="39"/>
        <v>200000</v>
      </c>
      <c r="V113" s="315">
        <f t="shared" si="39"/>
        <v>200000</v>
      </c>
      <c r="W113" s="315">
        <f t="shared" si="39"/>
        <v>200000</v>
      </c>
      <c r="X113" s="315">
        <f t="shared" si="39"/>
        <v>200000</v>
      </c>
      <c r="Y113" s="315">
        <f t="shared" si="39"/>
        <v>200000</v>
      </c>
      <c r="Z113" s="315">
        <f t="shared" si="40"/>
        <v>200000</v>
      </c>
      <c r="AA113" s="315">
        <f t="shared" si="40"/>
        <v>200000</v>
      </c>
      <c r="AB113" s="315">
        <f t="shared" si="40"/>
        <v>200000</v>
      </c>
      <c r="AC113" s="315">
        <f t="shared" si="40"/>
        <v>200000</v>
      </c>
      <c r="AD113" s="315">
        <f t="shared" si="40"/>
        <v>200000</v>
      </c>
      <c r="AE113" s="315">
        <f t="shared" si="40"/>
        <v>200000</v>
      </c>
      <c r="AF113" s="315">
        <f t="shared" si="40"/>
        <v>200000</v>
      </c>
      <c r="AG113" s="315">
        <f t="shared" si="40"/>
        <v>200000</v>
      </c>
      <c r="AH113" s="315">
        <f t="shared" si="40"/>
        <v>200000</v>
      </c>
      <c r="AI113" s="315">
        <f t="shared" si="40"/>
        <v>200000</v>
      </c>
      <c r="AJ113" s="315">
        <f t="shared" si="41"/>
        <v>200000</v>
      </c>
      <c r="AK113" s="315">
        <f t="shared" si="41"/>
        <v>200000</v>
      </c>
      <c r="AL113" s="315">
        <f t="shared" si="41"/>
        <v>200000</v>
      </c>
      <c r="AM113" s="315">
        <f t="shared" si="41"/>
        <v>200000</v>
      </c>
      <c r="AN113" s="315">
        <f t="shared" si="41"/>
        <v>200000</v>
      </c>
      <c r="AO113" s="315">
        <f t="shared" si="41"/>
        <v>200000</v>
      </c>
      <c r="AP113" s="315">
        <f t="shared" si="41"/>
        <v>200000</v>
      </c>
      <c r="AQ113" s="315">
        <f t="shared" si="41"/>
        <v>200000</v>
      </c>
    </row>
    <row r="114" spans="1:43" s="144" customFormat="1" ht="13.35" customHeight="1">
      <c r="A114" s="124"/>
      <c r="B114" s="142" t="str">
        <f t="shared" si="42"/>
        <v>Tru Livin' Farms</v>
      </c>
      <c r="C114" s="145">
        <f t="shared" si="42"/>
        <v>200000</v>
      </c>
      <c r="D114" s="322">
        <f t="shared" si="42"/>
        <v>44135</v>
      </c>
      <c r="E114" s="323">
        <f t="shared" si="42"/>
        <v>5</v>
      </c>
      <c r="F114" s="315">
        <f t="shared" si="38"/>
        <v>0</v>
      </c>
      <c r="G114" s="315">
        <f t="shared" si="38"/>
        <v>0</v>
      </c>
      <c r="H114" s="315">
        <f t="shared" si="38"/>
        <v>0</v>
      </c>
      <c r="I114" s="315">
        <f t="shared" si="38"/>
        <v>0</v>
      </c>
      <c r="J114" s="315">
        <f t="shared" si="38"/>
        <v>0</v>
      </c>
      <c r="K114" s="315">
        <f t="shared" si="38"/>
        <v>0</v>
      </c>
      <c r="L114" s="315">
        <f t="shared" si="38"/>
        <v>0</v>
      </c>
      <c r="M114" s="315">
        <f t="shared" si="38"/>
        <v>0</v>
      </c>
      <c r="N114" s="315">
        <f t="shared" si="38"/>
        <v>0</v>
      </c>
      <c r="O114" s="315">
        <f t="shared" si="38"/>
        <v>200000</v>
      </c>
      <c r="P114" s="315">
        <f t="shared" si="39"/>
        <v>200000</v>
      </c>
      <c r="Q114" s="315">
        <f t="shared" si="39"/>
        <v>200000</v>
      </c>
      <c r="R114" s="315">
        <f t="shared" si="39"/>
        <v>200000</v>
      </c>
      <c r="S114" s="315">
        <f t="shared" si="39"/>
        <v>200000</v>
      </c>
      <c r="T114" s="315">
        <f t="shared" si="39"/>
        <v>200000</v>
      </c>
      <c r="U114" s="315">
        <f t="shared" si="39"/>
        <v>200000</v>
      </c>
      <c r="V114" s="315">
        <f t="shared" si="39"/>
        <v>200000</v>
      </c>
      <c r="W114" s="315">
        <f t="shared" si="39"/>
        <v>200000</v>
      </c>
      <c r="X114" s="315">
        <f t="shared" si="39"/>
        <v>200000</v>
      </c>
      <c r="Y114" s="315">
        <f t="shared" si="39"/>
        <v>200000</v>
      </c>
      <c r="Z114" s="315">
        <f t="shared" si="40"/>
        <v>200000</v>
      </c>
      <c r="AA114" s="315">
        <f t="shared" si="40"/>
        <v>200000</v>
      </c>
      <c r="AB114" s="315">
        <f t="shared" si="40"/>
        <v>200000</v>
      </c>
      <c r="AC114" s="315">
        <f t="shared" si="40"/>
        <v>200000</v>
      </c>
      <c r="AD114" s="315">
        <f t="shared" si="40"/>
        <v>200000</v>
      </c>
      <c r="AE114" s="315">
        <f t="shared" si="40"/>
        <v>200000</v>
      </c>
      <c r="AF114" s="315">
        <f t="shared" si="40"/>
        <v>200000</v>
      </c>
      <c r="AG114" s="315">
        <f t="shared" si="40"/>
        <v>200000</v>
      </c>
      <c r="AH114" s="315">
        <f t="shared" si="40"/>
        <v>200000</v>
      </c>
      <c r="AI114" s="315">
        <f t="shared" si="40"/>
        <v>200000</v>
      </c>
      <c r="AJ114" s="315">
        <f t="shared" si="41"/>
        <v>200000</v>
      </c>
      <c r="AK114" s="315">
        <f t="shared" si="41"/>
        <v>200000</v>
      </c>
      <c r="AL114" s="315">
        <f t="shared" si="41"/>
        <v>200000</v>
      </c>
      <c r="AM114" s="315">
        <f t="shared" si="41"/>
        <v>200000</v>
      </c>
      <c r="AN114" s="315">
        <f t="shared" si="41"/>
        <v>200000</v>
      </c>
      <c r="AO114" s="315">
        <f t="shared" si="41"/>
        <v>200000</v>
      </c>
      <c r="AP114" s="315">
        <f t="shared" si="41"/>
        <v>200000</v>
      </c>
      <c r="AQ114" s="315">
        <f t="shared" si="41"/>
        <v>200000</v>
      </c>
    </row>
    <row r="115" spans="1:43" s="144" customFormat="1" ht="13.35" customHeight="1">
      <c r="A115" s="124"/>
      <c r="B115" s="142" t="str">
        <f t="shared" si="42"/>
        <v>Red Rooster Farms</v>
      </c>
      <c r="C115" s="145">
        <f t="shared" si="42"/>
        <v>50000</v>
      </c>
      <c r="D115" s="322">
        <f t="shared" si="42"/>
        <v>44135</v>
      </c>
      <c r="E115" s="323">
        <f t="shared" si="42"/>
        <v>5</v>
      </c>
      <c r="F115" s="315">
        <f t="shared" si="38"/>
        <v>0</v>
      </c>
      <c r="G115" s="315">
        <f t="shared" si="38"/>
        <v>0</v>
      </c>
      <c r="H115" s="315">
        <f t="shared" si="38"/>
        <v>0</v>
      </c>
      <c r="I115" s="315">
        <f t="shared" si="38"/>
        <v>0</v>
      </c>
      <c r="J115" s="315">
        <f t="shared" si="38"/>
        <v>0</v>
      </c>
      <c r="K115" s="315">
        <f t="shared" si="38"/>
        <v>0</v>
      </c>
      <c r="L115" s="315">
        <f t="shared" si="38"/>
        <v>0</v>
      </c>
      <c r="M115" s="315">
        <f t="shared" si="38"/>
        <v>0</v>
      </c>
      <c r="N115" s="315">
        <f t="shared" si="38"/>
        <v>0</v>
      </c>
      <c r="O115" s="315">
        <f t="shared" si="38"/>
        <v>50000</v>
      </c>
      <c r="P115" s="315">
        <f t="shared" si="39"/>
        <v>50000</v>
      </c>
      <c r="Q115" s="315">
        <f t="shared" si="39"/>
        <v>50000</v>
      </c>
      <c r="R115" s="315">
        <f t="shared" si="39"/>
        <v>50000</v>
      </c>
      <c r="S115" s="315">
        <f t="shared" si="39"/>
        <v>50000</v>
      </c>
      <c r="T115" s="315">
        <f t="shared" si="39"/>
        <v>50000</v>
      </c>
      <c r="U115" s="315">
        <f t="shared" si="39"/>
        <v>50000</v>
      </c>
      <c r="V115" s="315">
        <f t="shared" si="39"/>
        <v>50000</v>
      </c>
      <c r="W115" s="315">
        <f t="shared" si="39"/>
        <v>50000</v>
      </c>
      <c r="X115" s="315">
        <f t="shared" si="39"/>
        <v>50000</v>
      </c>
      <c r="Y115" s="315">
        <f t="shared" si="39"/>
        <v>50000</v>
      </c>
      <c r="Z115" s="315">
        <f t="shared" si="40"/>
        <v>50000</v>
      </c>
      <c r="AA115" s="315">
        <f t="shared" si="40"/>
        <v>50000</v>
      </c>
      <c r="AB115" s="315">
        <f t="shared" si="40"/>
        <v>50000</v>
      </c>
      <c r="AC115" s="315">
        <f t="shared" si="40"/>
        <v>50000</v>
      </c>
      <c r="AD115" s="315">
        <f t="shared" si="40"/>
        <v>50000</v>
      </c>
      <c r="AE115" s="315">
        <f t="shared" si="40"/>
        <v>50000</v>
      </c>
      <c r="AF115" s="315">
        <f t="shared" si="40"/>
        <v>50000</v>
      </c>
      <c r="AG115" s="315">
        <f t="shared" si="40"/>
        <v>50000</v>
      </c>
      <c r="AH115" s="315">
        <f t="shared" si="40"/>
        <v>50000</v>
      </c>
      <c r="AI115" s="315">
        <f t="shared" si="40"/>
        <v>50000</v>
      </c>
      <c r="AJ115" s="315">
        <f t="shared" si="41"/>
        <v>50000</v>
      </c>
      <c r="AK115" s="315">
        <f t="shared" si="41"/>
        <v>50000</v>
      </c>
      <c r="AL115" s="315">
        <f t="shared" si="41"/>
        <v>50000</v>
      </c>
      <c r="AM115" s="315">
        <f t="shared" si="41"/>
        <v>50000</v>
      </c>
      <c r="AN115" s="315">
        <f t="shared" si="41"/>
        <v>50000</v>
      </c>
      <c r="AO115" s="315">
        <f t="shared" si="41"/>
        <v>50000</v>
      </c>
      <c r="AP115" s="315">
        <f t="shared" si="41"/>
        <v>50000</v>
      </c>
      <c r="AQ115" s="315">
        <f t="shared" si="41"/>
        <v>50000</v>
      </c>
    </row>
    <row r="116" spans="1:43" s="144" customFormat="1" ht="13.35" customHeight="1">
      <c r="A116" s="124"/>
      <c r="B116" s="142" t="str">
        <f t="shared" si="42"/>
        <v>Avrom Farms</v>
      </c>
      <c r="C116" s="145">
        <f t="shared" si="42"/>
        <v>250000</v>
      </c>
      <c r="D116" s="322">
        <f t="shared" si="42"/>
        <v>44135</v>
      </c>
      <c r="E116" s="323">
        <f t="shared" si="42"/>
        <v>5</v>
      </c>
      <c r="F116" s="315">
        <f t="shared" si="38"/>
        <v>0</v>
      </c>
      <c r="G116" s="315">
        <f t="shared" si="38"/>
        <v>0</v>
      </c>
      <c r="H116" s="315">
        <f t="shared" si="38"/>
        <v>0</v>
      </c>
      <c r="I116" s="315">
        <f t="shared" si="38"/>
        <v>0</v>
      </c>
      <c r="J116" s="315">
        <f t="shared" si="38"/>
        <v>0</v>
      </c>
      <c r="K116" s="315">
        <f t="shared" si="38"/>
        <v>0</v>
      </c>
      <c r="L116" s="315">
        <f t="shared" si="38"/>
        <v>0</v>
      </c>
      <c r="M116" s="315">
        <f t="shared" si="38"/>
        <v>0</v>
      </c>
      <c r="N116" s="315">
        <f t="shared" si="38"/>
        <v>0</v>
      </c>
      <c r="O116" s="315">
        <f t="shared" si="38"/>
        <v>250000</v>
      </c>
      <c r="P116" s="315">
        <f t="shared" si="39"/>
        <v>250000</v>
      </c>
      <c r="Q116" s="315">
        <f t="shared" si="39"/>
        <v>250000</v>
      </c>
      <c r="R116" s="315">
        <f t="shared" si="39"/>
        <v>250000</v>
      </c>
      <c r="S116" s="315">
        <f t="shared" si="39"/>
        <v>250000</v>
      </c>
      <c r="T116" s="315">
        <f t="shared" si="39"/>
        <v>250000</v>
      </c>
      <c r="U116" s="315">
        <f t="shared" si="39"/>
        <v>250000</v>
      </c>
      <c r="V116" s="315">
        <f t="shared" si="39"/>
        <v>250000</v>
      </c>
      <c r="W116" s="315">
        <f t="shared" si="39"/>
        <v>250000</v>
      </c>
      <c r="X116" s="315">
        <f t="shared" si="39"/>
        <v>250000</v>
      </c>
      <c r="Y116" s="315">
        <f t="shared" si="39"/>
        <v>250000</v>
      </c>
      <c r="Z116" s="315">
        <f t="shared" si="40"/>
        <v>250000</v>
      </c>
      <c r="AA116" s="315">
        <f t="shared" si="40"/>
        <v>250000</v>
      </c>
      <c r="AB116" s="315">
        <f t="shared" si="40"/>
        <v>250000</v>
      </c>
      <c r="AC116" s="315">
        <f t="shared" si="40"/>
        <v>250000</v>
      </c>
      <c r="AD116" s="315">
        <f t="shared" si="40"/>
        <v>250000</v>
      </c>
      <c r="AE116" s="315">
        <f t="shared" si="40"/>
        <v>250000</v>
      </c>
      <c r="AF116" s="315">
        <f t="shared" si="40"/>
        <v>250000</v>
      </c>
      <c r="AG116" s="315">
        <f t="shared" si="40"/>
        <v>250000</v>
      </c>
      <c r="AH116" s="315">
        <f t="shared" si="40"/>
        <v>250000</v>
      </c>
      <c r="AI116" s="315">
        <f t="shared" si="40"/>
        <v>250000</v>
      </c>
      <c r="AJ116" s="315">
        <f t="shared" si="41"/>
        <v>250000</v>
      </c>
      <c r="AK116" s="315">
        <f t="shared" si="41"/>
        <v>250000</v>
      </c>
      <c r="AL116" s="315">
        <f t="shared" si="41"/>
        <v>250000</v>
      </c>
      <c r="AM116" s="315">
        <f t="shared" si="41"/>
        <v>250000</v>
      </c>
      <c r="AN116" s="315">
        <f t="shared" si="41"/>
        <v>250000</v>
      </c>
      <c r="AO116" s="315">
        <f t="shared" si="41"/>
        <v>250000</v>
      </c>
      <c r="AP116" s="315">
        <f t="shared" si="41"/>
        <v>250000</v>
      </c>
      <c r="AQ116" s="315">
        <f t="shared" si="41"/>
        <v>250000</v>
      </c>
    </row>
    <row r="117" spans="1:43" s="144" customFormat="1" ht="13.35" customHeight="1">
      <c r="A117" s="124"/>
      <c r="B117" s="142" t="str">
        <f t="shared" si="42"/>
        <v>Clear Creek Family Farm</v>
      </c>
      <c r="C117" s="145">
        <f t="shared" si="42"/>
        <v>200000</v>
      </c>
      <c r="D117" s="322">
        <f t="shared" si="42"/>
        <v>44165</v>
      </c>
      <c r="E117" s="323">
        <f t="shared" si="42"/>
        <v>5</v>
      </c>
      <c r="F117" s="315">
        <f t="shared" si="38"/>
        <v>0</v>
      </c>
      <c r="G117" s="315">
        <f t="shared" si="38"/>
        <v>0</v>
      </c>
      <c r="H117" s="315">
        <f t="shared" si="38"/>
        <v>0</v>
      </c>
      <c r="I117" s="315">
        <f t="shared" si="38"/>
        <v>0</v>
      </c>
      <c r="J117" s="315">
        <f t="shared" si="38"/>
        <v>0</v>
      </c>
      <c r="K117" s="315">
        <f t="shared" si="38"/>
        <v>0</v>
      </c>
      <c r="L117" s="315">
        <f t="shared" si="38"/>
        <v>0</v>
      </c>
      <c r="M117" s="315">
        <f t="shared" si="38"/>
        <v>0</v>
      </c>
      <c r="N117" s="315">
        <f t="shared" si="38"/>
        <v>0</v>
      </c>
      <c r="O117" s="315">
        <f t="shared" si="38"/>
        <v>0</v>
      </c>
      <c r="P117" s="315">
        <f t="shared" si="39"/>
        <v>200000</v>
      </c>
      <c r="Q117" s="315">
        <f t="shared" si="39"/>
        <v>200000</v>
      </c>
      <c r="R117" s="315">
        <f t="shared" si="39"/>
        <v>200000</v>
      </c>
      <c r="S117" s="315">
        <f t="shared" si="39"/>
        <v>200000</v>
      </c>
      <c r="T117" s="315">
        <f t="shared" si="39"/>
        <v>200000</v>
      </c>
      <c r="U117" s="315">
        <f t="shared" si="39"/>
        <v>200000</v>
      </c>
      <c r="V117" s="315">
        <f t="shared" si="39"/>
        <v>200000</v>
      </c>
      <c r="W117" s="315">
        <f t="shared" si="39"/>
        <v>200000</v>
      </c>
      <c r="X117" s="315">
        <f t="shared" si="39"/>
        <v>200000</v>
      </c>
      <c r="Y117" s="315">
        <f t="shared" si="39"/>
        <v>200000</v>
      </c>
      <c r="Z117" s="315">
        <f t="shared" si="40"/>
        <v>200000</v>
      </c>
      <c r="AA117" s="315">
        <f t="shared" si="40"/>
        <v>200000</v>
      </c>
      <c r="AB117" s="315">
        <f t="shared" si="40"/>
        <v>200000</v>
      </c>
      <c r="AC117" s="315">
        <f t="shared" si="40"/>
        <v>200000</v>
      </c>
      <c r="AD117" s="315">
        <f t="shared" si="40"/>
        <v>200000</v>
      </c>
      <c r="AE117" s="315">
        <f t="shared" si="40"/>
        <v>200000</v>
      </c>
      <c r="AF117" s="315">
        <f t="shared" si="40"/>
        <v>200000</v>
      </c>
      <c r="AG117" s="315">
        <f t="shared" si="40"/>
        <v>200000</v>
      </c>
      <c r="AH117" s="315">
        <f t="shared" si="40"/>
        <v>200000</v>
      </c>
      <c r="AI117" s="315">
        <f t="shared" si="40"/>
        <v>200000</v>
      </c>
      <c r="AJ117" s="315">
        <f t="shared" si="41"/>
        <v>200000</v>
      </c>
      <c r="AK117" s="315">
        <f t="shared" si="41"/>
        <v>200000</v>
      </c>
      <c r="AL117" s="315">
        <f t="shared" si="41"/>
        <v>200000</v>
      </c>
      <c r="AM117" s="315">
        <f t="shared" si="41"/>
        <v>200000</v>
      </c>
      <c r="AN117" s="315">
        <f t="shared" si="41"/>
        <v>200000</v>
      </c>
      <c r="AO117" s="315">
        <f t="shared" si="41"/>
        <v>200000</v>
      </c>
      <c r="AP117" s="315">
        <f t="shared" si="41"/>
        <v>200000</v>
      </c>
      <c r="AQ117" s="315">
        <f t="shared" si="41"/>
        <v>200000</v>
      </c>
    </row>
    <row r="118" spans="1:43" s="144" customFormat="1" ht="13.35" customHeight="1">
      <c r="A118" s="124"/>
      <c r="B118" s="142" t="str">
        <f t="shared" si="42"/>
        <v>Kubed Root</v>
      </c>
      <c r="C118" s="145">
        <f t="shared" si="42"/>
        <v>50000</v>
      </c>
      <c r="D118" s="322">
        <f t="shared" si="42"/>
        <v>44165</v>
      </c>
      <c r="E118" s="323">
        <f t="shared" si="42"/>
        <v>5</v>
      </c>
      <c r="F118" s="315">
        <f t="shared" si="38"/>
        <v>0</v>
      </c>
      <c r="G118" s="315">
        <f t="shared" si="38"/>
        <v>0</v>
      </c>
      <c r="H118" s="315">
        <f t="shared" si="38"/>
        <v>0</v>
      </c>
      <c r="I118" s="315">
        <f t="shared" si="38"/>
        <v>0</v>
      </c>
      <c r="J118" s="315">
        <f t="shared" si="38"/>
        <v>0</v>
      </c>
      <c r="K118" s="315">
        <f t="shared" si="38"/>
        <v>0</v>
      </c>
      <c r="L118" s="315">
        <f t="shared" si="38"/>
        <v>0</v>
      </c>
      <c r="M118" s="315">
        <f t="shared" si="38"/>
        <v>0</v>
      </c>
      <c r="N118" s="315">
        <f t="shared" si="38"/>
        <v>0</v>
      </c>
      <c r="O118" s="315">
        <f t="shared" si="38"/>
        <v>0</v>
      </c>
      <c r="P118" s="315">
        <f t="shared" si="39"/>
        <v>50000</v>
      </c>
      <c r="Q118" s="315">
        <f t="shared" si="39"/>
        <v>50000</v>
      </c>
      <c r="R118" s="315">
        <f t="shared" si="39"/>
        <v>50000</v>
      </c>
      <c r="S118" s="315">
        <f t="shared" si="39"/>
        <v>50000</v>
      </c>
      <c r="T118" s="315">
        <f t="shared" si="39"/>
        <v>50000</v>
      </c>
      <c r="U118" s="315">
        <f t="shared" si="39"/>
        <v>50000</v>
      </c>
      <c r="V118" s="315">
        <f t="shared" si="39"/>
        <v>50000</v>
      </c>
      <c r="W118" s="315">
        <f t="shared" si="39"/>
        <v>50000</v>
      </c>
      <c r="X118" s="315">
        <f t="shared" si="39"/>
        <v>50000</v>
      </c>
      <c r="Y118" s="315">
        <f t="shared" si="39"/>
        <v>50000</v>
      </c>
      <c r="Z118" s="315">
        <f t="shared" si="40"/>
        <v>50000</v>
      </c>
      <c r="AA118" s="315">
        <f t="shared" si="40"/>
        <v>50000</v>
      </c>
      <c r="AB118" s="315">
        <f t="shared" si="40"/>
        <v>50000</v>
      </c>
      <c r="AC118" s="315">
        <f t="shared" si="40"/>
        <v>50000</v>
      </c>
      <c r="AD118" s="315">
        <f t="shared" si="40"/>
        <v>50000</v>
      </c>
      <c r="AE118" s="315">
        <f t="shared" si="40"/>
        <v>50000</v>
      </c>
      <c r="AF118" s="315">
        <f t="shared" si="40"/>
        <v>50000</v>
      </c>
      <c r="AG118" s="315">
        <f t="shared" si="40"/>
        <v>50000</v>
      </c>
      <c r="AH118" s="315">
        <f t="shared" si="40"/>
        <v>50000</v>
      </c>
      <c r="AI118" s="315">
        <f t="shared" si="40"/>
        <v>50000</v>
      </c>
      <c r="AJ118" s="315">
        <f t="shared" si="41"/>
        <v>50000</v>
      </c>
      <c r="AK118" s="315">
        <f t="shared" si="41"/>
        <v>50000</v>
      </c>
      <c r="AL118" s="315">
        <f t="shared" si="41"/>
        <v>50000</v>
      </c>
      <c r="AM118" s="315">
        <f t="shared" si="41"/>
        <v>50000</v>
      </c>
      <c r="AN118" s="315">
        <f t="shared" si="41"/>
        <v>50000</v>
      </c>
      <c r="AO118" s="315">
        <f t="shared" si="41"/>
        <v>50000</v>
      </c>
      <c r="AP118" s="315">
        <f t="shared" si="41"/>
        <v>50000</v>
      </c>
      <c r="AQ118" s="315">
        <f t="shared" si="41"/>
        <v>50000</v>
      </c>
    </row>
    <row r="119" spans="1:43" s="144" customFormat="1" ht="13.35" customHeight="1">
      <c r="A119" s="124"/>
      <c r="B119" s="142" t="str">
        <f t="shared" si="42"/>
        <v>Sierra Valley Farm</v>
      </c>
      <c r="C119" s="145">
        <f t="shared" si="42"/>
        <v>0</v>
      </c>
      <c r="D119" s="322">
        <f t="shared" si="42"/>
        <v>44196</v>
      </c>
      <c r="E119" s="323">
        <f t="shared" si="42"/>
        <v>5</v>
      </c>
      <c r="F119" s="315">
        <f t="shared" si="38"/>
        <v>0</v>
      </c>
      <c r="G119" s="315">
        <f t="shared" si="38"/>
        <v>0</v>
      </c>
      <c r="H119" s="315">
        <f t="shared" si="38"/>
        <v>0</v>
      </c>
      <c r="I119" s="315">
        <f t="shared" si="38"/>
        <v>0</v>
      </c>
      <c r="J119" s="315">
        <f t="shared" si="38"/>
        <v>0</v>
      </c>
      <c r="K119" s="315">
        <f t="shared" si="38"/>
        <v>0</v>
      </c>
      <c r="L119" s="315">
        <f t="shared" si="38"/>
        <v>0</v>
      </c>
      <c r="M119" s="315">
        <f t="shared" si="38"/>
        <v>0</v>
      </c>
      <c r="N119" s="315">
        <f t="shared" si="38"/>
        <v>0</v>
      </c>
      <c r="O119" s="315">
        <f t="shared" si="38"/>
        <v>0</v>
      </c>
      <c r="P119" s="315">
        <f t="shared" si="39"/>
        <v>0</v>
      </c>
      <c r="Q119" s="315">
        <f t="shared" si="39"/>
        <v>0</v>
      </c>
      <c r="R119" s="315">
        <f t="shared" si="39"/>
        <v>0</v>
      </c>
      <c r="S119" s="315">
        <f t="shared" si="39"/>
        <v>0</v>
      </c>
      <c r="T119" s="315">
        <f t="shared" si="39"/>
        <v>0</v>
      </c>
      <c r="U119" s="315">
        <f t="shared" si="39"/>
        <v>0</v>
      </c>
      <c r="V119" s="315">
        <f t="shared" si="39"/>
        <v>0</v>
      </c>
      <c r="W119" s="315">
        <f t="shared" si="39"/>
        <v>0</v>
      </c>
      <c r="X119" s="315">
        <f t="shared" si="39"/>
        <v>0</v>
      </c>
      <c r="Y119" s="315">
        <f t="shared" si="39"/>
        <v>0</v>
      </c>
      <c r="Z119" s="315">
        <f t="shared" si="40"/>
        <v>0</v>
      </c>
      <c r="AA119" s="315">
        <f t="shared" si="40"/>
        <v>0</v>
      </c>
      <c r="AB119" s="315">
        <f t="shared" si="40"/>
        <v>0</v>
      </c>
      <c r="AC119" s="315">
        <f t="shared" si="40"/>
        <v>0</v>
      </c>
      <c r="AD119" s="315">
        <f t="shared" si="40"/>
        <v>0</v>
      </c>
      <c r="AE119" s="315">
        <f t="shared" si="40"/>
        <v>0</v>
      </c>
      <c r="AF119" s="315">
        <f t="shared" si="40"/>
        <v>0</v>
      </c>
      <c r="AG119" s="315">
        <f t="shared" si="40"/>
        <v>0</v>
      </c>
      <c r="AH119" s="315">
        <f t="shared" si="40"/>
        <v>0</v>
      </c>
      <c r="AI119" s="315">
        <f t="shared" si="40"/>
        <v>0</v>
      </c>
      <c r="AJ119" s="315">
        <f t="shared" si="41"/>
        <v>0</v>
      </c>
      <c r="AK119" s="315">
        <f t="shared" si="41"/>
        <v>0</v>
      </c>
      <c r="AL119" s="315">
        <f t="shared" si="41"/>
        <v>0</v>
      </c>
      <c r="AM119" s="315">
        <f t="shared" si="41"/>
        <v>0</v>
      </c>
      <c r="AN119" s="315">
        <f t="shared" si="41"/>
        <v>0</v>
      </c>
      <c r="AO119" s="315">
        <f t="shared" si="41"/>
        <v>0</v>
      </c>
      <c r="AP119" s="315">
        <f t="shared" si="41"/>
        <v>0</v>
      </c>
      <c r="AQ119" s="315">
        <f t="shared" si="41"/>
        <v>0</v>
      </c>
    </row>
    <row r="120" spans="1:43" s="144" customFormat="1" ht="13.35" customHeight="1">
      <c r="A120" s="124" t="s">
        <v>47</v>
      </c>
      <c r="B120" s="508" t="str">
        <f t="shared" ref="B120:B140" si="43">B52</f>
        <v>2020 New Loans in Final Stage of Due Diligence as of February 29, 2020</v>
      </c>
      <c r="C120" s="307"/>
      <c r="D120" s="307"/>
      <c r="E120" s="307"/>
      <c r="F120" s="308"/>
      <c r="G120" s="309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11"/>
    </row>
    <row r="121" spans="1:43" s="144" customFormat="1" ht="13.35" customHeight="1">
      <c r="A121" s="124"/>
      <c r="B121" s="142" t="str">
        <f t="shared" si="43"/>
        <v>By George</v>
      </c>
      <c r="C121" s="145">
        <f t="shared" ref="C121:E140" si="44">C53</f>
        <v>1000000</v>
      </c>
      <c r="D121" s="322">
        <f t="shared" si="44"/>
        <v>44043</v>
      </c>
      <c r="E121" s="323">
        <f t="shared" si="44"/>
        <v>5</v>
      </c>
      <c r="F121" s="315">
        <f t="shared" ref="F121:U132" si="45">IF(AND(F$5&gt;=$D121,F$5&lt;=EOMONTH($D121,$C$8*12)),$C121,0)</f>
        <v>0</v>
      </c>
      <c r="G121" s="315">
        <f t="shared" si="45"/>
        <v>0</v>
      </c>
      <c r="H121" s="315">
        <f t="shared" si="45"/>
        <v>0</v>
      </c>
      <c r="I121" s="315">
        <f t="shared" si="45"/>
        <v>0</v>
      </c>
      <c r="J121" s="315">
        <f t="shared" si="45"/>
        <v>0</v>
      </c>
      <c r="K121" s="315">
        <f t="shared" si="45"/>
        <v>0</v>
      </c>
      <c r="L121" s="315">
        <f t="shared" si="45"/>
        <v>1000000</v>
      </c>
      <c r="M121" s="315">
        <f t="shared" si="45"/>
        <v>1000000</v>
      </c>
      <c r="N121" s="315">
        <f t="shared" si="45"/>
        <v>1000000</v>
      </c>
      <c r="O121" s="315">
        <f t="shared" si="45"/>
        <v>1000000</v>
      </c>
      <c r="P121" s="315">
        <f t="shared" si="45"/>
        <v>1000000</v>
      </c>
      <c r="Q121" s="315">
        <f t="shared" si="45"/>
        <v>1000000</v>
      </c>
      <c r="R121" s="315">
        <f t="shared" si="45"/>
        <v>1000000</v>
      </c>
      <c r="S121" s="315">
        <f t="shared" si="45"/>
        <v>1000000</v>
      </c>
      <c r="T121" s="315">
        <f t="shared" si="45"/>
        <v>1000000</v>
      </c>
      <c r="U121" s="315">
        <f t="shared" si="45"/>
        <v>1000000</v>
      </c>
      <c r="V121" s="315">
        <f t="shared" ref="V121:AI132" si="46">IF(AND(V$5&gt;=$D121,V$5&lt;=EOMONTH($D121,$C$8*12)),$C121,0)</f>
        <v>1000000</v>
      </c>
      <c r="W121" s="315">
        <f t="shared" si="46"/>
        <v>1000000</v>
      </c>
      <c r="X121" s="315">
        <f t="shared" si="46"/>
        <v>1000000</v>
      </c>
      <c r="Y121" s="315">
        <f t="shared" si="46"/>
        <v>1000000</v>
      </c>
      <c r="Z121" s="315">
        <f t="shared" si="46"/>
        <v>1000000</v>
      </c>
      <c r="AA121" s="315">
        <f t="shared" si="46"/>
        <v>1000000</v>
      </c>
      <c r="AB121" s="315">
        <f t="shared" si="46"/>
        <v>1000000</v>
      </c>
      <c r="AC121" s="315">
        <f t="shared" si="46"/>
        <v>1000000</v>
      </c>
      <c r="AD121" s="315">
        <f t="shared" si="46"/>
        <v>1000000</v>
      </c>
      <c r="AE121" s="315">
        <f t="shared" si="46"/>
        <v>1000000</v>
      </c>
      <c r="AF121" s="315">
        <f t="shared" si="46"/>
        <v>1000000</v>
      </c>
      <c r="AG121" s="315">
        <f t="shared" si="46"/>
        <v>1000000</v>
      </c>
      <c r="AH121" s="315">
        <f t="shared" si="46"/>
        <v>1000000</v>
      </c>
      <c r="AI121" s="315">
        <f t="shared" si="46"/>
        <v>1000000</v>
      </c>
      <c r="AJ121" s="315">
        <f t="shared" ref="AJ121:AQ132" si="47">IF(AND(AJ$5&gt;=$D121,AJ$5&lt;=EOMONTH($D121,$C$8*12)),$C121,0)</f>
        <v>1000000</v>
      </c>
      <c r="AK121" s="315">
        <f t="shared" si="47"/>
        <v>1000000</v>
      </c>
      <c r="AL121" s="315">
        <f t="shared" si="47"/>
        <v>1000000</v>
      </c>
      <c r="AM121" s="315">
        <f t="shared" si="47"/>
        <v>1000000</v>
      </c>
      <c r="AN121" s="315">
        <f t="shared" si="47"/>
        <v>1000000</v>
      </c>
      <c r="AO121" s="315">
        <f t="shared" si="47"/>
        <v>1000000</v>
      </c>
      <c r="AP121" s="315">
        <f t="shared" si="47"/>
        <v>1000000</v>
      </c>
      <c r="AQ121" s="315">
        <f t="shared" si="47"/>
        <v>1000000</v>
      </c>
    </row>
    <row r="122" spans="1:43" s="144" customFormat="1" ht="13.35" customHeight="1">
      <c r="A122" s="124"/>
      <c r="B122" s="142" t="str">
        <f t="shared" si="43"/>
        <v>Nehalem</v>
      </c>
      <c r="C122" s="145">
        <f t="shared" si="44"/>
        <v>1000000</v>
      </c>
      <c r="D122" s="322">
        <f t="shared" si="44"/>
        <v>44104</v>
      </c>
      <c r="E122" s="323">
        <f t="shared" si="44"/>
        <v>5</v>
      </c>
      <c r="F122" s="315">
        <f t="shared" si="45"/>
        <v>0</v>
      </c>
      <c r="G122" s="315">
        <f t="shared" si="45"/>
        <v>0</v>
      </c>
      <c r="H122" s="315">
        <f t="shared" si="45"/>
        <v>0</v>
      </c>
      <c r="I122" s="315">
        <f t="shared" si="45"/>
        <v>0</v>
      </c>
      <c r="J122" s="315">
        <f t="shared" si="45"/>
        <v>0</v>
      </c>
      <c r="K122" s="315">
        <f t="shared" si="45"/>
        <v>0</v>
      </c>
      <c r="L122" s="315">
        <f t="shared" si="45"/>
        <v>0</v>
      </c>
      <c r="M122" s="315">
        <f t="shared" si="45"/>
        <v>0</v>
      </c>
      <c r="N122" s="315">
        <f t="shared" si="45"/>
        <v>1000000</v>
      </c>
      <c r="O122" s="315">
        <f t="shared" si="45"/>
        <v>1000000</v>
      </c>
      <c r="P122" s="315">
        <f t="shared" si="45"/>
        <v>1000000</v>
      </c>
      <c r="Q122" s="315">
        <f t="shared" si="45"/>
        <v>1000000</v>
      </c>
      <c r="R122" s="315">
        <f t="shared" si="45"/>
        <v>1000000</v>
      </c>
      <c r="S122" s="315">
        <f t="shared" si="45"/>
        <v>1000000</v>
      </c>
      <c r="T122" s="315">
        <f t="shared" si="45"/>
        <v>1000000</v>
      </c>
      <c r="U122" s="315">
        <f t="shared" si="45"/>
        <v>1000000</v>
      </c>
      <c r="V122" s="315">
        <f t="shared" si="46"/>
        <v>1000000</v>
      </c>
      <c r="W122" s="315">
        <f t="shared" si="46"/>
        <v>1000000</v>
      </c>
      <c r="X122" s="315">
        <f t="shared" si="46"/>
        <v>1000000</v>
      </c>
      <c r="Y122" s="315">
        <f t="shared" si="46"/>
        <v>1000000</v>
      </c>
      <c r="Z122" s="315">
        <f t="shared" si="46"/>
        <v>1000000</v>
      </c>
      <c r="AA122" s="315">
        <f t="shared" si="46"/>
        <v>1000000</v>
      </c>
      <c r="AB122" s="315">
        <f t="shared" si="46"/>
        <v>1000000</v>
      </c>
      <c r="AC122" s="315">
        <f t="shared" si="46"/>
        <v>1000000</v>
      </c>
      <c r="AD122" s="315">
        <f t="shared" si="46"/>
        <v>1000000</v>
      </c>
      <c r="AE122" s="315">
        <f t="shared" si="46"/>
        <v>1000000</v>
      </c>
      <c r="AF122" s="315">
        <f t="shared" si="46"/>
        <v>1000000</v>
      </c>
      <c r="AG122" s="315">
        <f t="shared" si="46"/>
        <v>1000000</v>
      </c>
      <c r="AH122" s="315">
        <f t="shared" si="46"/>
        <v>1000000</v>
      </c>
      <c r="AI122" s="315">
        <f t="shared" si="46"/>
        <v>1000000</v>
      </c>
      <c r="AJ122" s="315">
        <f t="shared" si="47"/>
        <v>1000000</v>
      </c>
      <c r="AK122" s="315">
        <f t="shared" si="47"/>
        <v>1000000</v>
      </c>
      <c r="AL122" s="315">
        <f t="shared" si="47"/>
        <v>1000000</v>
      </c>
      <c r="AM122" s="315">
        <f t="shared" si="47"/>
        <v>1000000</v>
      </c>
      <c r="AN122" s="315">
        <f t="shared" si="47"/>
        <v>1000000</v>
      </c>
      <c r="AO122" s="315">
        <f t="shared" si="47"/>
        <v>1000000</v>
      </c>
      <c r="AP122" s="315">
        <f t="shared" si="47"/>
        <v>1000000</v>
      </c>
      <c r="AQ122" s="315">
        <f t="shared" si="47"/>
        <v>1000000</v>
      </c>
    </row>
    <row r="123" spans="1:43" s="144" customFormat="1" ht="13.35" customHeight="1">
      <c r="A123" s="124"/>
      <c r="B123" s="142" t="str">
        <f t="shared" si="43"/>
        <v>Grand Isle Sea Farms</v>
      </c>
      <c r="C123" s="145">
        <f t="shared" si="44"/>
        <v>1000000</v>
      </c>
      <c r="D123" s="322">
        <f t="shared" si="44"/>
        <v>44135</v>
      </c>
      <c r="E123" s="323">
        <f t="shared" si="44"/>
        <v>5</v>
      </c>
      <c r="F123" s="315">
        <f t="shared" si="45"/>
        <v>0</v>
      </c>
      <c r="G123" s="315">
        <f t="shared" si="45"/>
        <v>0</v>
      </c>
      <c r="H123" s="315">
        <f t="shared" si="45"/>
        <v>0</v>
      </c>
      <c r="I123" s="315">
        <f t="shared" si="45"/>
        <v>0</v>
      </c>
      <c r="J123" s="315">
        <f t="shared" si="45"/>
        <v>0</v>
      </c>
      <c r="K123" s="315">
        <f t="shared" si="45"/>
        <v>0</v>
      </c>
      <c r="L123" s="315">
        <f t="shared" si="45"/>
        <v>0</v>
      </c>
      <c r="M123" s="315">
        <f t="shared" si="45"/>
        <v>0</v>
      </c>
      <c r="N123" s="315">
        <f t="shared" si="45"/>
        <v>0</v>
      </c>
      <c r="O123" s="315">
        <f t="shared" si="45"/>
        <v>1000000</v>
      </c>
      <c r="P123" s="315">
        <f t="shared" si="45"/>
        <v>1000000</v>
      </c>
      <c r="Q123" s="315">
        <f t="shared" si="45"/>
        <v>1000000</v>
      </c>
      <c r="R123" s="315">
        <f t="shared" si="45"/>
        <v>1000000</v>
      </c>
      <c r="S123" s="315">
        <f t="shared" si="45"/>
        <v>1000000</v>
      </c>
      <c r="T123" s="315">
        <f t="shared" si="45"/>
        <v>1000000</v>
      </c>
      <c r="U123" s="315">
        <f t="shared" si="45"/>
        <v>1000000</v>
      </c>
      <c r="V123" s="315">
        <f t="shared" si="46"/>
        <v>1000000</v>
      </c>
      <c r="W123" s="315">
        <f t="shared" si="46"/>
        <v>1000000</v>
      </c>
      <c r="X123" s="315">
        <f t="shared" si="46"/>
        <v>1000000</v>
      </c>
      <c r="Y123" s="315">
        <f t="shared" si="46"/>
        <v>1000000</v>
      </c>
      <c r="Z123" s="315">
        <f t="shared" si="46"/>
        <v>1000000</v>
      </c>
      <c r="AA123" s="315">
        <f t="shared" si="46"/>
        <v>1000000</v>
      </c>
      <c r="AB123" s="315">
        <f t="shared" si="46"/>
        <v>1000000</v>
      </c>
      <c r="AC123" s="315">
        <f t="shared" si="46"/>
        <v>1000000</v>
      </c>
      <c r="AD123" s="315">
        <f t="shared" si="46"/>
        <v>1000000</v>
      </c>
      <c r="AE123" s="315">
        <f t="shared" si="46"/>
        <v>1000000</v>
      </c>
      <c r="AF123" s="315">
        <f t="shared" si="46"/>
        <v>1000000</v>
      </c>
      <c r="AG123" s="315">
        <f t="shared" si="46"/>
        <v>1000000</v>
      </c>
      <c r="AH123" s="315">
        <f t="shared" si="46"/>
        <v>1000000</v>
      </c>
      <c r="AI123" s="315">
        <f t="shared" si="46"/>
        <v>1000000</v>
      </c>
      <c r="AJ123" s="315">
        <f t="shared" si="47"/>
        <v>1000000</v>
      </c>
      <c r="AK123" s="315">
        <f t="shared" si="47"/>
        <v>1000000</v>
      </c>
      <c r="AL123" s="315">
        <f t="shared" si="47"/>
        <v>1000000</v>
      </c>
      <c r="AM123" s="315">
        <f t="shared" si="47"/>
        <v>1000000</v>
      </c>
      <c r="AN123" s="315">
        <f t="shared" si="47"/>
        <v>1000000</v>
      </c>
      <c r="AO123" s="315">
        <f t="shared" si="47"/>
        <v>1000000</v>
      </c>
      <c r="AP123" s="315">
        <f t="shared" si="47"/>
        <v>1000000</v>
      </c>
      <c r="AQ123" s="315">
        <f t="shared" si="47"/>
        <v>1000000</v>
      </c>
    </row>
    <row r="124" spans="1:43" s="144" customFormat="1" ht="13.35" customHeight="1">
      <c r="A124" s="124"/>
      <c r="B124" s="142" t="str">
        <f t="shared" si="43"/>
        <v>North Bridger Bison</v>
      </c>
      <c r="C124" s="145">
        <f t="shared" si="44"/>
        <v>500000</v>
      </c>
      <c r="D124" s="322">
        <f t="shared" si="44"/>
        <v>44165</v>
      </c>
      <c r="E124" s="323">
        <f t="shared" si="44"/>
        <v>5</v>
      </c>
      <c r="F124" s="315">
        <f t="shared" si="45"/>
        <v>0</v>
      </c>
      <c r="G124" s="315">
        <f t="shared" si="45"/>
        <v>0</v>
      </c>
      <c r="H124" s="315">
        <f t="shared" si="45"/>
        <v>0</v>
      </c>
      <c r="I124" s="315">
        <f t="shared" si="45"/>
        <v>0</v>
      </c>
      <c r="J124" s="315">
        <f t="shared" si="45"/>
        <v>0</v>
      </c>
      <c r="K124" s="315">
        <f t="shared" si="45"/>
        <v>0</v>
      </c>
      <c r="L124" s="315">
        <f t="shared" si="45"/>
        <v>0</v>
      </c>
      <c r="M124" s="315">
        <f t="shared" si="45"/>
        <v>0</v>
      </c>
      <c r="N124" s="315">
        <f t="shared" si="45"/>
        <v>0</v>
      </c>
      <c r="O124" s="315">
        <f t="shared" si="45"/>
        <v>0</v>
      </c>
      <c r="P124" s="315">
        <f t="shared" si="45"/>
        <v>500000</v>
      </c>
      <c r="Q124" s="315">
        <f t="shared" si="45"/>
        <v>500000</v>
      </c>
      <c r="R124" s="315">
        <f t="shared" si="45"/>
        <v>500000</v>
      </c>
      <c r="S124" s="315">
        <f t="shared" si="45"/>
        <v>500000</v>
      </c>
      <c r="T124" s="315">
        <f t="shared" si="45"/>
        <v>500000</v>
      </c>
      <c r="U124" s="315">
        <f t="shared" si="45"/>
        <v>500000</v>
      </c>
      <c r="V124" s="315">
        <f t="shared" si="46"/>
        <v>500000</v>
      </c>
      <c r="W124" s="315">
        <f t="shared" si="46"/>
        <v>500000</v>
      </c>
      <c r="X124" s="315">
        <f t="shared" si="46"/>
        <v>500000</v>
      </c>
      <c r="Y124" s="315">
        <f t="shared" si="46"/>
        <v>500000</v>
      </c>
      <c r="Z124" s="315">
        <f t="shared" si="46"/>
        <v>500000</v>
      </c>
      <c r="AA124" s="315">
        <f t="shared" si="46"/>
        <v>500000</v>
      </c>
      <c r="AB124" s="315">
        <f t="shared" si="46"/>
        <v>500000</v>
      </c>
      <c r="AC124" s="315">
        <f t="shared" si="46"/>
        <v>500000</v>
      </c>
      <c r="AD124" s="315">
        <f t="shared" si="46"/>
        <v>500000</v>
      </c>
      <c r="AE124" s="315">
        <f t="shared" si="46"/>
        <v>500000</v>
      </c>
      <c r="AF124" s="315">
        <f t="shared" si="46"/>
        <v>500000</v>
      </c>
      <c r="AG124" s="315">
        <f t="shared" si="46"/>
        <v>500000</v>
      </c>
      <c r="AH124" s="315">
        <f t="shared" si="46"/>
        <v>500000</v>
      </c>
      <c r="AI124" s="315">
        <f t="shared" si="46"/>
        <v>500000</v>
      </c>
      <c r="AJ124" s="315">
        <f t="shared" si="47"/>
        <v>500000</v>
      </c>
      <c r="AK124" s="315">
        <f t="shared" si="47"/>
        <v>500000</v>
      </c>
      <c r="AL124" s="315">
        <f t="shared" si="47"/>
        <v>500000</v>
      </c>
      <c r="AM124" s="315">
        <f t="shared" si="47"/>
        <v>500000</v>
      </c>
      <c r="AN124" s="315">
        <f t="shared" si="47"/>
        <v>500000</v>
      </c>
      <c r="AO124" s="315">
        <f t="shared" si="47"/>
        <v>500000</v>
      </c>
      <c r="AP124" s="315">
        <f t="shared" si="47"/>
        <v>500000</v>
      </c>
      <c r="AQ124" s="315">
        <f t="shared" si="47"/>
        <v>500000</v>
      </c>
    </row>
    <row r="125" spans="1:43" s="144" customFormat="1" ht="13.35" hidden="1" customHeight="1" outlineLevel="1">
      <c r="A125" s="124"/>
      <c r="B125" s="142" t="str">
        <f t="shared" si="43"/>
        <v>[OTHER] FOR FUTURE INTERNAL BUDGETING PURPOSES</v>
      </c>
      <c r="C125" s="145">
        <f t="shared" si="44"/>
        <v>0</v>
      </c>
      <c r="D125" s="322">
        <f t="shared" si="44"/>
        <v>0</v>
      </c>
      <c r="E125" s="323">
        <f t="shared" si="44"/>
        <v>5</v>
      </c>
      <c r="F125" s="315">
        <f t="shared" si="45"/>
        <v>0</v>
      </c>
      <c r="G125" s="315">
        <f t="shared" si="45"/>
        <v>0</v>
      </c>
      <c r="H125" s="315">
        <f t="shared" si="45"/>
        <v>0</v>
      </c>
      <c r="I125" s="315">
        <f t="shared" si="45"/>
        <v>0</v>
      </c>
      <c r="J125" s="315">
        <f t="shared" si="45"/>
        <v>0</v>
      </c>
      <c r="K125" s="315">
        <f t="shared" si="45"/>
        <v>0</v>
      </c>
      <c r="L125" s="315">
        <f t="shared" si="45"/>
        <v>0</v>
      </c>
      <c r="M125" s="315">
        <f t="shared" si="45"/>
        <v>0</v>
      </c>
      <c r="N125" s="315">
        <f t="shared" si="45"/>
        <v>0</v>
      </c>
      <c r="O125" s="315">
        <f t="shared" si="45"/>
        <v>0</v>
      </c>
      <c r="P125" s="315">
        <f t="shared" si="45"/>
        <v>0</v>
      </c>
      <c r="Q125" s="315">
        <f t="shared" si="45"/>
        <v>0</v>
      </c>
      <c r="R125" s="315">
        <f t="shared" si="45"/>
        <v>0</v>
      </c>
      <c r="S125" s="315">
        <f t="shared" si="45"/>
        <v>0</v>
      </c>
      <c r="T125" s="315">
        <f t="shared" si="45"/>
        <v>0</v>
      </c>
      <c r="U125" s="315">
        <f t="shared" si="45"/>
        <v>0</v>
      </c>
      <c r="V125" s="315">
        <f t="shared" si="46"/>
        <v>0</v>
      </c>
      <c r="W125" s="315">
        <f t="shared" si="46"/>
        <v>0</v>
      </c>
      <c r="X125" s="315">
        <f t="shared" si="46"/>
        <v>0</v>
      </c>
      <c r="Y125" s="315">
        <f t="shared" si="46"/>
        <v>0</v>
      </c>
      <c r="Z125" s="315">
        <f t="shared" si="46"/>
        <v>0</v>
      </c>
      <c r="AA125" s="315">
        <f t="shared" si="46"/>
        <v>0</v>
      </c>
      <c r="AB125" s="315">
        <f t="shared" si="46"/>
        <v>0</v>
      </c>
      <c r="AC125" s="315">
        <f t="shared" si="46"/>
        <v>0</v>
      </c>
      <c r="AD125" s="315">
        <f t="shared" si="46"/>
        <v>0</v>
      </c>
      <c r="AE125" s="315">
        <f t="shared" si="46"/>
        <v>0</v>
      </c>
      <c r="AF125" s="315">
        <f t="shared" si="46"/>
        <v>0</v>
      </c>
      <c r="AG125" s="315">
        <f t="shared" si="46"/>
        <v>0</v>
      </c>
      <c r="AH125" s="315">
        <f t="shared" si="46"/>
        <v>0</v>
      </c>
      <c r="AI125" s="315">
        <f t="shared" si="46"/>
        <v>0</v>
      </c>
      <c r="AJ125" s="315">
        <f t="shared" si="47"/>
        <v>0</v>
      </c>
      <c r="AK125" s="315">
        <f t="shared" si="47"/>
        <v>0</v>
      </c>
      <c r="AL125" s="315">
        <f t="shared" si="47"/>
        <v>0</v>
      </c>
      <c r="AM125" s="315">
        <f t="shared" si="47"/>
        <v>0</v>
      </c>
      <c r="AN125" s="315">
        <f t="shared" si="47"/>
        <v>0</v>
      </c>
      <c r="AO125" s="315">
        <f t="shared" si="47"/>
        <v>0</v>
      </c>
      <c r="AP125" s="315">
        <f t="shared" si="47"/>
        <v>0</v>
      </c>
      <c r="AQ125" s="315">
        <f t="shared" si="47"/>
        <v>0</v>
      </c>
    </row>
    <row r="126" spans="1:43" s="144" customFormat="1" ht="13.35" hidden="1" customHeight="1" outlineLevel="1">
      <c r="A126" s="124"/>
      <c r="B126" s="142" t="str">
        <f t="shared" si="43"/>
        <v>[OTHER] FOR FUTURE INTERNAL BUDGETING PURPOSES</v>
      </c>
      <c r="C126" s="145">
        <f t="shared" si="44"/>
        <v>0</v>
      </c>
      <c r="D126" s="322">
        <f t="shared" si="44"/>
        <v>0</v>
      </c>
      <c r="E126" s="323">
        <f t="shared" si="44"/>
        <v>5</v>
      </c>
      <c r="F126" s="315">
        <f t="shared" si="45"/>
        <v>0</v>
      </c>
      <c r="G126" s="315">
        <f t="shared" si="45"/>
        <v>0</v>
      </c>
      <c r="H126" s="315">
        <f t="shared" si="45"/>
        <v>0</v>
      </c>
      <c r="I126" s="315">
        <f t="shared" si="45"/>
        <v>0</v>
      </c>
      <c r="J126" s="315">
        <f t="shared" si="45"/>
        <v>0</v>
      </c>
      <c r="K126" s="315">
        <f t="shared" si="45"/>
        <v>0</v>
      </c>
      <c r="L126" s="315">
        <f t="shared" si="45"/>
        <v>0</v>
      </c>
      <c r="M126" s="315">
        <f t="shared" si="45"/>
        <v>0</v>
      </c>
      <c r="N126" s="315">
        <f t="shared" si="45"/>
        <v>0</v>
      </c>
      <c r="O126" s="315">
        <f t="shared" si="45"/>
        <v>0</v>
      </c>
      <c r="P126" s="315">
        <f t="shared" si="45"/>
        <v>0</v>
      </c>
      <c r="Q126" s="315">
        <f t="shared" si="45"/>
        <v>0</v>
      </c>
      <c r="R126" s="315">
        <f t="shared" si="45"/>
        <v>0</v>
      </c>
      <c r="S126" s="315">
        <f t="shared" si="45"/>
        <v>0</v>
      </c>
      <c r="T126" s="315">
        <f t="shared" si="45"/>
        <v>0</v>
      </c>
      <c r="U126" s="315">
        <f t="shared" si="45"/>
        <v>0</v>
      </c>
      <c r="V126" s="315">
        <f t="shared" si="46"/>
        <v>0</v>
      </c>
      <c r="W126" s="315">
        <f t="shared" si="46"/>
        <v>0</v>
      </c>
      <c r="X126" s="315">
        <f t="shared" si="46"/>
        <v>0</v>
      </c>
      <c r="Y126" s="315">
        <f t="shared" si="46"/>
        <v>0</v>
      </c>
      <c r="Z126" s="315">
        <f t="shared" si="46"/>
        <v>0</v>
      </c>
      <c r="AA126" s="315">
        <f t="shared" si="46"/>
        <v>0</v>
      </c>
      <c r="AB126" s="315">
        <f t="shared" si="46"/>
        <v>0</v>
      </c>
      <c r="AC126" s="315">
        <f t="shared" si="46"/>
        <v>0</v>
      </c>
      <c r="AD126" s="315">
        <f t="shared" si="46"/>
        <v>0</v>
      </c>
      <c r="AE126" s="315">
        <f t="shared" si="46"/>
        <v>0</v>
      </c>
      <c r="AF126" s="315">
        <f t="shared" si="46"/>
        <v>0</v>
      </c>
      <c r="AG126" s="315">
        <f t="shared" si="46"/>
        <v>0</v>
      </c>
      <c r="AH126" s="315">
        <f t="shared" si="46"/>
        <v>0</v>
      </c>
      <c r="AI126" s="315">
        <f t="shared" si="46"/>
        <v>0</v>
      </c>
      <c r="AJ126" s="315">
        <f t="shared" si="47"/>
        <v>0</v>
      </c>
      <c r="AK126" s="315">
        <f t="shared" si="47"/>
        <v>0</v>
      </c>
      <c r="AL126" s="315">
        <f t="shared" si="47"/>
        <v>0</v>
      </c>
      <c r="AM126" s="315">
        <f t="shared" si="47"/>
        <v>0</v>
      </c>
      <c r="AN126" s="315">
        <f t="shared" si="47"/>
        <v>0</v>
      </c>
      <c r="AO126" s="315">
        <f t="shared" si="47"/>
        <v>0</v>
      </c>
      <c r="AP126" s="315">
        <f t="shared" si="47"/>
        <v>0</v>
      </c>
      <c r="AQ126" s="315">
        <f t="shared" si="47"/>
        <v>0</v>
      </c>
    </row>
    <row r="127" spans="1:43" s="144" customFormat="1" ht="13.35" hidden="1" customHeight="1" outlineLevel="1">
      <c r="A127" s="124"/>
      <c r="B127" s="142" t="str">
        <f t="shared" si="43"/>
        <v>[OTHER] FOR FUTURE INTERNAL BUDGETING PURPOSES</v>
      </c>
      <c r="C127" s="145">
        <f t="shared" si="44"/>
        <v>0</v>
      </c>
      <c r="D127" s="322">
        <f t="shared" si="44"/>
        <v>0</v>
      </c>
      <c r="E127" s="323">
        <f t="shared" si="44"/>
        <v>5</v>
      </c>
      <c r="F127" s="315">
        <f t="shared" si="45"/>
        <v>0</v>
      </c>
      <c r="G127" s="315">
        <f t="shared" si="45"/>
        <v>0</v>
      </c>
      <c r="H127" s="315">
        <f t="shared" si="45"/>
        <v>0</v>
      </c>
      <c r="I127" s="315">
        <f t="shared" si="45"/>
        <v>0</v>
      </c>
      <c r="J127" s="315">
        <f t="shared" si="45"/>
        <v>0</v>
      </c>
      <c r="K127" s="315">
        <f t="shared" si="45"/>
        <v>0</v>
      </c>
      <c r="L127" s="315">
        <f t="shared" si="45"/>
        <v>0</v>
      </c>
      <c r="M127" s="315">
        <f t="shared" si="45"/>
        <v>0</v>
      </c>
      <c r="N127" s="315">
        <f t="shared" si="45"/>
        <v>0</v>
      </c>
      <c r="O127" s="315">
        <f t="shared" si="45"/>
        <v>0</v>
      </c>
      <c r="P127" s="315">
        <f t="shared" si="45"/>
        <v>0</v>
      </c>
      <c r="Q127" s="315">
        <f t="shared" si="45"/>
        <v>0</v>
      </c>
      <c r="R127" s="315">
        <f t="shared" si="45"/>
        <v>0</v>
      </c>
      <c r="S127" s="315">
        <f t="shared" si="45"/>
        <v>0</v>
      </c>
      <c r="T127" s="315">
        <f t="shared" si="45"/>
        <v>0</v>
      </c>
      <c r="U127" s="315">
        <f t="shared" si="45"/>
        <v>0</v>
      </c>
      <c r="V127" s="315">
        <f t="shared" si="46"/>
        <v>0</v>
      </c>
      <c r="W127" s="315">
        <f t="shared" si="46"/>
        <v>0</v>
      </c>
      <c r="X127" s="315">
        <f t="shared" si="46"/>
        <v>0</v>
      </c>
      <c r="Y127" s="315">
        <f t="shared" si="46"/>
        <v>0</v>
      </c>
      <c r="Z127" s="315">
        <f t="shared" si="46"/>
        <v>0</v>
      </c>
      <c r="AA127" s="315">
        <f t="shared" si="46"/>
        <v>0</v>
      </c>
      <c r="AB127" s="315">
        <f t="shared" si="46"/>
        <v>0</v>
      </c>
      <c r="AC127" s="315">
        <f t="shared" si="46"/>
        <v>0</v>
      </c>
      <c r="AD127" s="315">
        <f t="shared" si="46"/>
        <v>0</v>
      </c>
      <c r="AE127" s="315">
        <f t="shared" si="46"/>
        <v>0</v>
      </c>
      <c r="AF127" s="315">
        <f t="shared" si="46"/>
        <v>0</v>
      </c>
      <c r="AG127" s="315">
        <f t="shared" si="46"/>
        <v>0</v>
      </c>
      <c r="AH127" s="315">
        <f t="shared" si="46"/>
        <v>0</v>
      </c>
      <c r="AI127" s="315">
        <f t="shared" si="46"/>
        <v>0</v>
      </c>
      <c r="AJ127" s="315">
        <f t="shared" si="47"/>
        <v>0</v>
      </c>
      <c r="AK127" s="315">
        <f t="shared" si="47"/>
        <v>0</v>
      </c>
      <c r="AL127" s="315">
        <f t="shared" si="47"/>
        <v>0</v>
      </c>
      <c r="AM127" s="315">
        <f t="shared" si="47"/>
        <v>0</v>
      </c>
      <c r="AN127" s="315">
        <f t="shared" si="47"/>
        <v>0</v>
      </c>
      <c r="AO127" s="315">
        <f t="shared" si="47"/>
        <v>0</v>
      </c>
      <c r="AP127" s="315">
        <f t="shared" si="47"/>
        <v>0</v>
      </c>
      <c r="AQ127" s="315">
        <f t="shared" si="47"/>
        <v>0</v>
      </c>
    </row>
    <row r="128" spans="1:43" s="144" customFormat="1" ht="13.35" hidden="1" customHeight="1" outlineLevel="1">
      <c r="A128" s="124"/>
      <c r="B128" s="142" t="str">
        <f t="shared" si="43"/>
        <v>[OTHER] FOR FUTURE INTERNAL BUDGETING PURPOSES</v>
      </c>
      <c r="C128" s="145">
        <f t="shared" si="44"/>
        <v>0</v>
      </c>
      <c r="D128" s="322">
        <f t="shared" si="44"/>
        <v>0</v>
      </c>
      <c r="E128" s="323">
        <f t="shared" si="44"/>
        <v>5</v>
      </c>
      <c r="F128" s="315">
        <f t="shared" si="45"/>
        <v>0</v>
      </c>
      <c r="G128" s="315">
        <f t="shared" si="45"/>
        <v>0</v>
      </c>
      <c r="H128" s="315">
        <f t="shared" si="45"/>
        <v>0</v>
      </c>
      <c r="I128" s="315">
        <f t="shared" si="45"/>
        <v>0</v>
      </c>
      <c r="J128" s="315">
        <f t="shared" si="45"/>
        <v>0</v>
      </c>
      <c r="K128" s="315">
        <f t="shared" si="45"/>
        <v>0</v>
      </c>
      <c r="L128" s="315">
        <f t="shared" si="45"/>
        <v>0</v>
      </c>
      <c r="M128" s="315">
        <f t="shared" si="45"/>
        <v>0</v>
      </c>
      <c r="N128" s="315">
        <f t="shared" si="45"/>
        <v>0</v>
      </c>
      <c r="O128" s="315">
        <f t="shared" si="45"/>
        <v>0</v>
      </c>
      <c r="P128" s="315">
        <f t="shared" si="45"/>
        <v>0</v>
      </c>
      <c r="Q128" s="315">
        <f t="shared" si="45"/>
        <v>0</v>
      </c>
      <c r="R128" s="315">
        <f t="shared" si="45"/>
        <v>0</v>
      </c>
      <c r="S128" s="315">
        <f t="shared" si="45"/>
        <v>0</v>
      </c>
      <c r="T128" s="315">
        <f t="shared" si="45"/>
        <v>0</v>
      </c>
      <c r="U128" s="315">
        <f t="shared" si="45"/>
        <v>0</v>
      </c>
      <c r="V128" s="315">
        <f t="shared" si="46"/>
        <v>0</v>
      </c>
      <c r="W128" s="315">
        <f t="shared" si="46"/>
        <v>0</v>
      </c>
      <c r="X128" s="315">
        <f t="shared" si="46"/>
        <v>0</v>
      </c>
      <c r="Y128" s="315">
        <f t="shared" si="46"/>
        <v>0</v>
      </c>
      <c r="Z128" s="315">
        <f t="shared" si="46"/>
        <v>0</v>
      </c>
      <c r="AA128" s="315">
        <f t="shared" si="46"/>
        <v>0</v>
      </c>
      <c r="AB128" s="315">
        <f t="shared" si="46"/>
        <v>0</v>
      </c>
      <c r="AC128" s="315">
        <f t="shared" si="46"/>
        <v>0</v>
      </c>
      <c r="AD128" s="315">
        <f t="shared" si="46"/>
        <v>0</v>
      </c>
      <c r="AE128" s="315">
        <f t="shared" si="46"/>
        <v>0</v>
      </c>
      <c r="AF128" s="315">
        <f t="shared" si="46"/>
        <v>0</v>
      </c>
      <c r="AG128" s="315">
        <f t="shared" si="46"/>
        <v>0</v>
      </c>
      <c r="AH128" s="315">
        <f t="shared" si="46"/>
        <v>0</v>
      </c>
      <c r="AI128" s="315">
        <f t="shared" si="46"/>
        <v>0</v>
      </c>
      <c r="AJ128" s="315">
        <f t="shared" si="47"/>
        <v>0</v>
      </c>
      <c r="AK128" s="315">
        <f t="shared" si="47"/>
        <v>0</v>
      </c>
      <c r="AL128" s="315">
        <f t="shared" si="47"/>
        <v>0</v>
      </c>
      <c r="AM128" s="315">
        <f t="shared" si="47"/>
        <v>0</v>
      </c>
      <c r="AN128" s="315">
        <f t="shared" si="47"/>
        <v>0</v>
      </c>
      <c r="AO128" s="315">
        <f t="shared" si="47"/>
        <v>0</v>
      </c>
      <c r="AP128" s="315">
        <f t="shared" si="47"/>
        <v>0</v>
      </c>
      <c r="AQ128" s="315">
        <f t="shared" si="47"/>
        <v>0</v>
      </c>
    </row>
    <row r="129" spans="1:43" s="144" customFormat="1" ht="13.35" hidden="1" customHeight="1" outlineLevel="1">
      <c r="A129" s="124"/>
      <c r="B129" s="142" t="str">
        <f t="shared" si="43"/>
        <v>[OTHER] FOR FUTURE INTERNAL BUDGETING PURPOSES</v>
      </c>
      <c r="C129" s="145">
        <f t="shared" si="44"/>
        <v>0</v>
      </c>
      <c r="D129" s="322">
        <f t="shared" si="44"/>
        <v>0</v>
      </c>
      <c r="E129" s="323">
        <f t="shared" si="44"/>
        <v>5</v>
      </c>
      <c r="F129" s="315">
        <f t="shared" si="45"/>
        <v>0</v>
      </c>
      <c r="G129" s="315">
        <f t="shared" si="45"/>
        <v>0</v>
      </c>
      <c r="H129" s="315">
        <f t="shared" si="45"/>
        <v>0</v>
      </c>
      <c r="I129" s="315">
        <f t="shared" si="45"/>
        <v>0</v>
      </c>
      <c r="J129" s="315">
        <f t="shared" si="45"/>
        <v>0</v>
      </c>
      <c r="K129" s="315">
        <f t="shared" si="45"/>
        <v>0</v>
      </c>
      <c r="L129" s="315">
        <f t="shared" si="45"/>
        <v>0</v>
      </c>
      <c r="M129" s="315">
        <f t="shared" si="45"/>
        <v>0</v>
      </c>
      <c r="N129" s="315">
        <f t="shared" si="45"/>
        <v>0</v>
      </c>
      <c r="O129" s="315">
        <f t="shared" si="45"/>
        <v>0</v>
      </c>
      <c r="P129" s="315">
        <f t="shared" si="45"/>
        <v>0</v>
      </c>
      <c r="Q129" s="315">
        <f t="shared" si="45"/>
        <v>0</v>
      </c>
      <c r="R129" s="315">
        <f t="shared" si="45"/>
        <v>0</v>
      </c>
      <c r="S129" s="315">
        <f t="shared" si="45"/>
        <v>0</v>
      </c>
      <c r="T129" s="315">
        <f t="shared" si="45"/>
        <v>0</v>
      </c>
      <c r="U129" s="315">
        <f t="shared" si="45"/>
        <v>0</v>
      </c>
      <c r="V129" s="315">
        <f t="shared" si="46"/>
        <v>0</v>
      </c>
      <c r="W129" s="315">
        <f t="shared" si="46"/>
        <v>0</v>
      </c>
      <c r="X129" s="315">
        <f t="shared" si="46"/>
        <v>0</v>
      </c>
      <c r="Y129" s="315">
        <f t="shared" si="46"/>
        <v>0</v>
      </c>
      <c r="Z129" s="315">
        <f t="shared" si="46"/>
        <v>0</v>
      </c>
      <c r="AA129" s="315">
        <f t="shared" si="46"/>
        <v>0</v>
      </c>
      <c r="AB129" s="315">
        <f t="shared" si="46"/>
        <v>0</v>
      </c>
      <c r="AC129" s="315">
        <f t="shared" si="46"/>
        <v>0</v>
      </c>
      <c r="AD129" s="315">
        <f t="shared" si="46"/>
        <v>0</v>
      </c>
      <c r="AE129" s="315">
        <f t="shared" si="46"/>
        <v>0</v>
      </c>
      <c r="AF129" s="315">
        <f t="shared" si="46"/>
        <v>0</v>
      </c>
      <c r="AG129" s="315">
        <f t="shared" si="46"/>
        <v>0</v>
      </c>
      <c r="AH129" s="315">
        <f t="shared" si="46"/>
        <v>0</v>
      </c>
      <c r="AI129" s="315">
        <f t="shared" si="46"/>
        <v>0</v>
      </c>
      <c r="AJ129" s="315">
        <f t="shared" si="47"/>
        <v>0</v>
      </c>
      <c r="AK129" s="315">
        <f t="shared" si="47"/>
        <v>0</v>
      </c>
      <c r="AL129" s="315">
        <f t="shared" si="47"/>
        <v>0</v>
      </c>
      <c r="AM129" s="315">
        <f t="shared" si="47"/>
        <v>0</v>
      </c>
      <c r="AN129" s="315">
        <f t="shared" si="47"/>
        <v>0</v>
      </c>
      <c r="AO129" s="315">
        <f t="shared" si="47"/>
        <v>0</v>
      </c>
      <c r="AP129" s="315">
        <f t="shared" si="47"/>
        <v>0</v>
      </c>
      <c r="AQ129" s="315">
        <f t="shared" si="47"/>
        <v>0</v>
      </c>
    </row>
    <row r="130" spans="1:43" s="144" customFormat="1" ht="13.35" hidden="1" customHeight="1" outlineLevel="1">
      <c r="A130" s="124"/>
      <c r="B130" s="142" t="str">
        <f t="shared" si="43"/>
        <v>[OTHER] FOR FUTURE INTERNAL BUDGETING PURPOSES</v>
      </c>
      <c r="C130" s="145">
        <f t="shared" si="44"/>
        <v>0</v>
      </c>
      <c r="D130" s="322">
        <f t="shared" si="44"/>
        <v>0</v>
      </c>
      <c r="E130" s="323">
        <f t="shared" si="44"/>
        <v>5</v>
      </c>
      <c r="F130" s="315">
        <f t="shared" si="45"/>
        <v>0</v>
      </c>
      <c r="G130" s="315">
        <f t="shared" si="45"/>
        <v>0</v>
      </c>
      <c r="H130" s="315">
        <f t="shared" si="45"/>
        <v>0</v>
      </c>
      <c r="I130" s="315">
        <f t="shared" si="45"/>
        <v>0</v>
      </c>
      <c r="J130" s="315">
        <f t="shared" si="45"/>
        <v>0</v>
      </c>
      <c r="K130" s="315">
        <f t="shared" si="45"/>
        <v>0</v>
      </c>
      <c r="L130" s="315">
        <f t="shared" si="45"/>
        <v>0</v>
      </c>
      <c r="M130" s="315">
        <f t="shared" si="45"/>
        <v>0</v>
      </c>
      <c r="N130" s="315">
        <f t="shared" si="45"/>
        <v>0</v>
      </c>
      <c r="O130" s="315">
        <f t="shared" si="45"/>
        <v>0</v>
      </c>
      <c r="P130" s="315">
        <f t="shared" si="45"/>
        <v>0</v>
      </c>
      <c r="Q130" s="315">
        <f t="shared" si="45"/>
        <v>0</v>
      </c>
      <c r="R130" s="315">
        <f t="shared" si="45"/>
        <v>0</v>
      </c>
      <c r="S130" s="315">
        <f t="shared" si="45"/>
        <v>0</v>
      </c>
      <c r="T130" s="315">
        <f t="shared" si="45"/>
        <v>0</v>
      </c>
      <c r="U130" s="315">
        <f t="shared" si="45"/>
        <v>0</v>
      </c>
      <c r="V130" s="315">
        <f t="shared" si="46"/>
        <v>0</v>
      </c>
      <c r="W130" s="315">
        <f t="shared" si="46"/>
        <v>0</v>
      </c>
      <c r="X130" s="315">
        <f t="shared" si="46"/>
        <v>0</v>
      </c>
      <c r="Y130" s="315">
        <f t="shared" si="46"/>
        <v>0</v>
      </c>
      <c r="Z130" s="315">
        <f t="shared" si="46"/>
        <v>0</v>
      </c>
      <c r="AA130" s="315">
        <f t="shared" si="46"/>
        <v>0</v>
      </c>
      <c r="AB130" s="315">
        <f t="shared" si="46"/>
        <v>0</v>
      </c>
      <c r="AC130" s="315">
        <f t="shared" si="46"/>
        <v>0</v>
      </c>
      <c r="AD130" s="315">
        <f t="shared" si="46"/>
        <v>0</v>
      </c>
      <c r="AE130" s="315">
        <f t="shared" si="46"/>
        <v>0</v>
      </c>
      <c r="AF130" s="315">
        <f t="shared" si="46"/>
        <v>0</v>
      </c>
      <c r="AG130" s="315">
        <f t="shared" si="46"/>
        <v>0</v>
      </c>
      <c r="AH130" s="315">
        <f t="shared" si="46"/>
        <v>0</v>
      </c>
      <c r="AI130" s="315">
        <f t="shared" si="46"/>
        <v>0</v>
      </c>
      <c r="AJ130" s="315">
        <f t="shared" si="47"/>
        <v>0</v>
      </c>
      <c r="AK130" s="315">
        <f t="shared" si="47"/>
        <v>0</v>
      </c>
      <c r="AL130" s="315">
        <f t="shared" si="47"/>
        <v>0</v>
      </c>
      <c r="AM130" s="315">
        <f t="shared" si="47"/>
        <v>0</v>
      </c>
      <c r="AN130" s="315">
        <f t="shared" si="47"/>
        <v>0</v>
      </c>
      <c r="AO130" s="315">
        <f t="shared" si="47"/>
        <v>0</v>
      </c>
      <c r="AP130" s="315">
        <f t="shared" si="47"/>
        <v>0</v>
      </c>
      <c r="AQ130" s="315">
        <f t="shared" si="47"/>
        <v>0</v>
      </c>
    </row>
    <row r="131" spans="1:43" s="144" customFormat="1" ht="13.35" hidden="1" customHeight="1" outlineLevel="1">
      <c r="A131" s="124"/>
      <c r="B131" s="142" t="str">
        <f t="shared" si="43"/>
        <v>[OTHER] FOR FUTURE INTERNAL BUDGETING PURPOSES</v>
      </c>
      <c r="C131" s="145">
        <f t="shared" si="44"/>
        <v>0</v>
      </c>
      <c r="D131" s="322">
        <f t="shared" si="44"/>
        <v>0</v>
      </c>
      <c r="E131" s="323">
        <f t="shared" si="44"/>
        <v>5</v>
      </c>
      <c r="F131" s="315">
        <f t="shared" si="45"/>
        <v>0</v>
      </c>
      <c r="G131" s="315">
        <f t="shared" si="45"/>
        <v>0</v>
      </c>
      <c r="H131" s="315">
        <f t="shared" si="45"/>
        <v>0</v>
      </c>
      <c r="I131" s="315">
        <f t="shared" si="45"/>
        <v>0</v>
      </c>
      <c r="J131" s="315">
        <f t="shared" si="45"/>
        <v>0</v>
      </c>
      <c r="K131" s="315">
        <f t="shared" si="45"/>
        <v>0</v>
      </c>
      <c r="L131" s="315">
        <f t="shared" si="45"/>
        <v>0</v>
      </c>
      <c r="M131" s="315">
        <f t="shared" si="45"/>
        <v>0</v>
      </c>
      <c r="N131" s="315">
        <f t="shared" si="45"/>
        <v>0</v>
      </c>
      <c r="O131" s="315">
        <f t="shared" si="45"/>
        <v>0</v>
      </c>
      <c r="P131" s="315">
        <f t="shared" si="45"/>
        <v>0</v>
      </c>
      <c r="Q131" s="315">
        <f t="shared" si="45"/>
        <v>0</v>
      </c>
      <c r="R131" s="315">
        <f t="shared" si="45"/>
        <v>0</v>
      </c>
      <c r="S131" s="315">
        <f t="shared" si="45"/>
        <v>0</v>
      </c>
      <c r="T131" s="315">
        <f t="shared" si="45"/>
        <v>0</v>
      </c>
      <c r="U131" s="315">
        <f t="shared" si="45"/>
        <v>0</v>
      </c>
      <c r="V131" s="315">
        <f t="shared" si="46"/>
        <v>0</v>
      </c>
      <c r="W131" s="315">
        <f t="shared" si="46"/>
        <v>0</v>
      </c>
      <c r="X131" s="315">
        <f t="shared" si="46"/>
        <v>0</v>
      </c>
      <c r="Y131" s="315">
        <f t="shared" si="46"/>
        <v>0</v>
      </c>
      <c r="Z131" s="315">
        <f t="shared" si="46"/>
        <v>0</v>
      </c>
      <c r="AA131" s="315">
        <f t="shared" si="46"/>
        <v>0</v>
      </c>
      <c r="AB131" s="315">
        <f t="shared" si="46"/>
        <v>0</v>
      </c>
      <c r="AC131" s="315">
        <f t="shared" si="46"/>
        <v>0</v>
      </c>
      <c r="AD131" s="315">
        <f t="shared" si="46"/>
        <v>0</v>
      </c>
      <c r="AE131" s="315">
        <f t="shared" si="46"/>
        <v>0</v>
      </c>
      <c r="AF131" s="315">
        <f t="shared" si="46"/>
        <v>0</v>
      </c>
      <c r="AG131" s="315">
        <f t="shared" si="46"/>
        <v>0</v>
      </c>
      <c r="AH131" s="315">
        <f t="shared" si="46"/>
        <v>0</v>
      </c>
      <c r="AI131" s="315">
        <f t="shared" si="46"/>
        <v>0</v>
      </c>
      <c r="AJ131" s="315">
        <f t="shared" si="47"/>
        <v>0</v>
      </c>
      <c r="AK131" s="315">
        <f t="shared" si="47"/>
        <v>0</v>
      </c>
      <c r="AL131" s="315">
        <f t="shared" si="47"/>
        <v>0</v>
      </c>
      <c r="AM131" s="315">
        <f t="shared" si="47"/>
        <v>0</v>
      </c>
      <c r="AN131" s="315">
        <f t="shared" si="47"/>
        <v>0</v>
      </c>
      <c r="AO131" s="315">
        <f t="shared" si="47"/>
        <v>0</v>
      </c>
      <c r="AP131" s="315">
        <f t="shared" si="47"/>
        <v>0</v>
      </c>
      <c r="AQ131" s="315">
        <f t="shared" si="47"/>
        <v>0</v>
      </c>
    </row>
    <row r="132" spans="1:43" s="144" customFormat="1" ht="13.35" hidden="1" customHeight="1" outlineLevel="1">
      <c r="A132" s="124"/>
      <c r="B132" s="142" t="str">
        <f t="shared" si="43"/>
        <v>[OTHER] FOR FUTURE INTERNAL BUDGETING PURPOSES</v>
      </c>
      <c r="C132" s="145">
        <f t="shared" si="44"/>
        <v>0</v>
      </c>
      <c r="D132" s="322">
        <f t="shared" si="44"/>
        <v>0</v>
      </c>
      <c r="E132" s="323">
        <f t="shared" si="44"/>
        <v>5</v>
      </c>
      <c r="F132" s="315">
        <f t="shared" si="45"/>
        <v>0</v>
      </c>
      <c r="G132" s="315">
        <f t="shared" si="45"/>
        <v>0</v>
      </c>
      <c r="H132" s="315">
        <f t="shared" si="45"/>
        <v>0</v>
      </c>
      <c r="I132" s="315">
        <f t="shared" si="45"/>
        <v>0</v>
      </c>
      <c r="J132" s="315">
        <f t="shared" si="45"/>
        <v>0</v>
      </c>
      <c r="K132" s="315">
        <f t="shared" si="45"/>
        <v>0</v>
      </c>
      <c r="L132" s="315">
        <f t="shared" si="45"/>
        <v>0</v>
      </c>
      <c r="M132" s="315">
        <f t="shared" si="45"/>
        <v>0</v>
      </c>
      <c r="N132" s="315">
        <f t="shared" si="45"/>
        <v>0</v>
      </c>
      <c r="O132" s="315">
        <f t="shared" si="45"/>
        <v>0</v>
      </c>
      <c r="P132" s="315">
        <f t="shared" si="45"/>
        <v>0</v>
      </c>
      <c r="Q132" s="315">
        <f t="shared" si="45"/>
        <v>0</v>
      </c>
      <c r="R132" s="315">
        <f t="shared" si="45"/>
        <v>0</v>
      </c>
      <c r="S132" s="315">
        <f t="shared" si="45"/>
        <v>0</v>
      </c>
      <c r="T132" s="315">
        <f t="shared" si="45"/>
        <v>0</v>
      </c>
      <c r="U132" s="315">
        <f t="shared" ref="F132:U140" si="48">IF(AND(U$5&gt;=$D132,U$5&lt;=EOMONTH($D132,$C$8*12)),$C132,0)</f>
        <v>0</v>
      </c>
      <c r="V132" s="315">
        <f t="shared" si="46"/>
        <v>0</v>
      </c>
      <c r="W132" s="315">
        <f t="shared" si="46"/>
        <v>0</v>
      </c>
      <c r="X132" s="315">
        <f t="shared" si="46"/>
        <v>0</v>
      </c>
      <c r="Y132" s="315">
        <f t="shared" si="46"/>
        <v>0</v>
      </c>
      <c r="Z132" s="315">
        <f t="shared" si="46"/>
        <v>0</v>
      </c>
      <c r="AA132" s="315">
        <f t="shared" si="46"/>
        <v>0</v>
      </c>
      <c r="AB132" s="315">
        <f t="shared" si="46"/>
        <v>0</v>
      </c>
      <c r="AC132" s="315">
        <f t="shared" si="46"/>
        <v>0</v>
      </c>
      <c r="AD132" s="315">
        <f t="shared" si="46"/>
        <v>0</v>
      </c>
      <c r="AE132" s="315">
        <f t="shared" si="46"/>
        <v>0</v>
      </c>
      <c r="AF132" s="315">
        <f t="shared" si="46"/>
        <v>0</v>
      </c>
      <c r="AG132" s="315">
        <f t="shared" si="46"/>
        <v>0</v>
      </c>
      <c r="AH132" s="315">
        <f t="shared" si="46"/>
        <v>0</v>
      </c>
      <c r="AI132" s="315">
        <f t="shared" si="46"/>
        <v>0</v>
      </c>
      <c r="AJ132" s="315">
        <f t="shared" si="47"/>
        <v>0</v>
      </c>
      <c r="AK132" s="315">
        <f t="shared" si="47"/>
        <v>0</v>
      </c>
      <c r="AL132" s="315">
        <f t="shared" si="47"/>
        <v>0</v>
      </c>
      <c r="AM132" s="315">
        <f t="shared" si="47"/>
        <v>0</v>
      </c>
      <c r="AN132" s="315">
        <f t="shared" si="47"/>
        <v>0</v>
      </c>
      <c r="AO132" s="315">
        <f t="shared" si="47"/>
        <v>0</v>
      </c>
      <c r="AP132" s="315">
        <f t="shared" si="47"/>
        <v>0</v>
      </c>
      <c r="AQ132" s="315">
        <f t="shared" si="47"/>
        <v>0</v>
      </c>
    </row>
    <row r="133" spans="1:43" s="144" customFormat="1" ht="13.35" hidden="1" customHeight="1" outlineLevel="1">
      <c r="A133" s="124"/>
      <c r="B133" s="142" t="str">
        <f t="shared" si="43"/>
        <v>[OTHER] FOR FUTURE INTERNAL BUDGETING PURPOSES</v>
      </c>
      <c r="C133" s="145">
        <f t="shared" si="44"/>
        <v>0</v>
      </c>
      <c r="D133" s="322">
        <f t="shared" si="44"/>
        <v>0</v>
      </c>
      <c r="E133" s="323">
        <f t="shared" si="44"/>
        <v>5</v>
      </c>
      <c r="F133" s="315">
        <f t="shared" si="48"/>
        <v>0</v>
      </c>
      <c r="G133" s="315">
        <f t="shared" si="48"/>
        <v>0</v>
      </c>
      <c r="H133" s="315">
        <f t="shared" si="48"/>
        <v>0</v>
      </c>
      <c r="I133" s="315">
        <f t="shared" si="48"/>
        <v>0</v>
      </c>
      <c r="J133" s="315">
        <f t="shared" si="48"/>
        <v>0</v>
      </c>
      <c r="K133" s="315">
        <f t="shared" si="48"/>
        <v>0</v>
      </c>
      <c r="L133" s="315">
        <f t="shared" si="48"/>
        <v>0</v>
      </c>
      <c r="M133" s="315">
        <f t="shared" si="48"/>
        <v>0</v>
      </c>
      <c r="N133" s="315">
        <f t="shared" si="48"/>
        <v>0</v>
      </c>
      <c r="O133" s="315">
        <f t="shared" si="48"/>
        <v>0</v>
      </c>
      <c r="P133" s="315">
        <f t="shared" si="48"/>
        <v>0</v>
      </c>
      <c r="Q133" s="315">
        <f t="shared" si="48"/>
        <v>0</v>
      </c>
      <c r="R133" s="315">
        <f t="shared" si="48"/>
        <v>0</v>
      </c>
      <c r="S133" s="315">
        <f t="shared" si="48"/>
        <v>0</v>
      </c>
      <c r="T133" s="315">
        <f t="shared" si="48"/>
        <v>0</v>
      </c>
      <c r="U133" s="315">
        <f t="shared" si="48"/>
        <v>0</v>
      </c>
      <c r="V133" s="315">
        <f t="shared" ref="V133:AK140" si="49">IF(AND(V$5&gt;=$D133,V$5&lt;=EOMONTH($D133,$C$8*12)),$C133,0)</f>
        <v>0</v>
      </c>
      <c r="W133" s="315">
        <f t="shared" si="49"/>
        <v>0</v>
      </c>
      <c r="X133" s="315">
        <f t="shared" si="49"/>
        <v>0</v>
      </c>
      <c r="Y133" s="315">
        <f t="shared" si="49"/>
        <v>0</v>
      </c>
      <c r="Z133" s="315">
        <f t="shared" si="49"/>
        <v>0</v>
      </c>
      <c r="AA133" s="315">
        <f t="shared" si="49"/>
        <v>0</v>
      </c>
      <c r="AB133" s="315">
        <f t="shared" si="49"/>
        <v>0</v>
      </c>
      <c r="AC133" s="315">
        <f t="shared" si="49"/>
        <v>0</v>
      </c>
      <c r="AD133" s="315">
        <f t="shared" si="49"/>
        <v>0</v>
      </c>
      <c r="AE133" s="315">
        <f t="shared" si="49"/>
        <v>0</v>
      </c>
      <c r="AF133" s="315">
        <f t="shared" si="49"/>
        <v>0</v>
      </c>
      <c r="AG133" s="315">
        <f t="shared" si="49"/>
        <v>0</v>
      </c>
      <c r="AH133" s="315">
        <f t="shared" si="49"/>
        <v>0</v>
      </c>
      <c r="AI133" s="315">
        <f t="shared" si="49"/>
        <v>0</v>
      </c>
      <c r="AJ133" s="315">
        <f t="shared" si="49"/>
        <v>0</v>
      </c>
      <c r="AK133" s="315">
        <f t="shared" si="49"/>
        <v>0</v>
      </c>
      <c r="AL133" s="315">
        <f t="shared" ref="AJ133:AQ140" si="50">IF(AND(AL$5&gt;=$D133,AL$5&lt;=EOMONTH($D133,$C$8*12)),$C133,0)</f>
        <v>0</v>
      </c>
      <c r="AM133" s="315">
        <f t="shared" si="50"/>
        <v>0</v>
      </c>
      <c r="AN133" s="315">
        <f t="shared" si="50"/>
        <v>0</v>
      </c>
      <c r="AO133" s="315">
        <f t="shared" si="50"/>
        <v>0</v>
      </c>
      <c r="AP133" s="315">
        <f t="shared" si="50"/>
        <v>0</v>
      </c>
      <c r="AQ133" s="315">
        <f t="shared" si="50"/>
        <v>0</v>
      </c>
    </row>
    <row r="134" spans="1:43" s="144" customFormat="1" ht="13.35" hidden="1" customHeight="1" outlineLevel="1">
      <c r="A134" s="124"/>
      <c r="B134" s="142" t="str">
        <f t="shared" si="43"/>
        <v>[OTHER] FOR FUTURE INTERNAL BUDGETING PURPOSES</v>
      </c>
      <c r="C134" s="145">
        <f t="shared" si="44"/>
        <v>0</v>
      </c>
      <c r="D134" s="322">
        <f t="shared" si="44"/>
        <v>0</v>
      </c>
      <c r="E134" s="323">
        <f t="shared" si="44"/>
        <v>5</v>
      </c>
      <c r="F134" s="315">
        <f t="shared" si="48"/>
        <v>0</v>
      </c>
      <c r="G134" s="315">
        <f t="shared" si="48"/>
        <v>0</v>
      </c>
      <c r="H134" s="315">
        <f t="shared" si="48"/>
        <v>0</v>
      </c>
      <c r="I134" s="315">
        <f t="shared" si="48"/>
        <v>0</v>
      </c>
      <c r="J134" s="315">
        <f t="shared" si="48"/>
        <v>0</v>
      </c>
      <c r="K134" s="315">
        <f t="shared" si="48"/>
        <v>0</v>
      </c>
      <c r="L134" s="315">
        <f t="shared" si="48"/>
        <v>0</v>
      </c>
      <c r="M134" s="315">
        <f t="shared" si="48"/>
        <v>0</v>
      </c>
      <c r="N134" s="315">
        <f t="shared" si="48"/>
        <v>0</v>
      </c>
      <c r="O134" s="315">
        <f t="shared" si="48"/>
        <v>0</v>
      </c>
      <c r="P134" s="315">
        <f t="shared" si="48"/>
        <v>0</v>
      </c>
      <c r="Q134" s="315">
        <f t="shared" si="48"/>
        <v>0</v>
      </c>
      <c r="R134" s="315">
        <f t="shared" si="48"/>
        <v>0</v>
      </c>
      <c r="S134" s="315">
        <f t="shared" si="48"/>
        <v>0</v>
      </c>
      <c r="T134" s="315">
        <f t="shared" si="48"/>
        <v>0</v>
      </c>
      <c r="U134" s="315">
        <f t="shared" si="48"/>
        <v>0</v>
      </c>
      <c r="V134" s="315">
        <f t="shared" si="49"/>
        <v>0</v>
      </c>
      <c r="W134" s="315">
        <f t="shared" si="49"/>
        <v>0</v>
      </c>
      <c r="X134" s="315">
        <f t="shared" si="49"/>
        <v>0</v>
      </c>
      <c r="Y134" s="315">
        <f t="shared" si="49"/>
        <v>0</v>
      </c>
      <c r="Z134" s="315">
        <f t="shared" si="49"/>
        <v>0</v>
      </c>
      <c r="AA134" s="315">
        <f t="shared" si="49"/>
        <v>0</v>
      </c>
      <c r="AB134" s="315">
        <f t="shared" si="49"/>
        <v>0</v>
      </c>
      <c r="AC134" s="315">
        <f t="shared" si="49"/>
        <v>0</v>
      </c>
      <c r="AD134" s="315">
        <f t="shared" si="49"/>
        <v>0</v>
      </c>
      <c r="AE134" s="315">
        <f t="shared" si="49"/>
        <v>0</v>
      </c>
      <c r="AF134" s="315">
        <f t="shared" si="49"/>
        <v>0</v>
      </c>
      <c r="AG134" s="315">
        <f t="shared" si="49"/>
        <v>0</v>
      </c>
      <c r="AH134" s="315">
        <f t="shared" si="49"/>
        <v>0</v>
      </c>
      <c r="AI134" s="315">
        <f t="shared" si="49"/>
        <v>0</v>
      </c>
      <c r="AJ134" s="315">
        <f t="shared" si="50"/>
        <v>0</v>
      </c>
      <c r="AK134" s="315">
        <f t="shared" si="50"/>
        <v>0</v>
      </c>
      <c r="AL134" s="315">
        <f t="shared" si="50"/>
        <v>0</v>
      </c>
      <c r="AM134" s="315">
        <f t="shared" si="50"/>
        <v>0</v>
      </c>
      <c r="AN134" s="315">
        <f t="shared" si="50"/>
        <v>0</v>
      </c>
      <c r="AO134" s="315">
        <f t="shared" si="50"/>
        <v>0</v>
      </c>
      <c r="AP134" s="315">
        <f t="shared" si="50"/>
        <v>0</v>
      </c>
      <c r="AQ134" s="315">
        <f t="shared" si="50"/>
        <v>0</v>
      </c>
    </row>
    <row r="135" spans="1:43" s="144" customFormat="1" ht="13.35" hidden="1" customHeight="1" outlineLevel="1">
      <c r="A135" s="124"/>
      <c r="B135" s="142" t="str">
        <f t="shared" si="43"/>
        <v>[OTHER] FOR FUTURE INTERNAL BUDGETING PURPOSES</v>
      </c>
      <c r="C135" s="145">
        <f t="shared" si="44"/>
        <v>0</v>
      </c>
      <c r="D135" s="322">
        <f t="shared" si="44"/>
        <v>0</v>
      </c>
      <c r="E135" s="323">
        <f t="shared" si="44"/>
        <v>5</v>
      </c>
      <c r="F135" s="315">
        <f t="shared" si="48"/>
        <v>0</v>
      </c>
      <c r="G135" s="315">
        <f t="shared" si="48"/>
        <v>0</v>
      </c>
      <c r="H135" s="315">
        <f t="shared" si="48"/>
        <v>0</v>
      </c>
      <c r="I135" s="315">
        <f t="shared" si="48"/>
        <v>0</v>
      </c>
      <c r="J135" s="315">
        <f t="shared" si="48"/>
        <v>0</v>
      </c>
      <c r="K135" s="315">
        <f t="shared" si="48"/>
        <v>0</v>
      </c>
      <c r="L135" s="315">
        <f t="shared" si="48"/>
        <v>0</v>
      </c>
      <c r="M135" s="315">
        <f t="shared" si="48"/>
        <v>0</v>
      </c>
      <c r="N135" s="315">
        <f t="shared" si="48"/>
        <v>0</v>
      </c>
      <c r="O135" s="315">
        <f t="shared" si="48"/>
        <v>0</v>
      </c>
      <c r="P135" s="315">
        <f t="shared" si="48"/>
        <v>0</v>
      </c>
      <c r="Q135" s="315">
        <f t="shared" si="48"/>
        <v>0</v>
      </c>
      <c r="R135" s="315">
        <f t="shared" si="48"/>
        <v>0</v>
      </c>
      <c r="S135" s="315">
        <f t="shared" si="48"/>
        <v>0</v>
      </c>
      <c r="T135" s="315">
        <f t="shared" si="48"/>
        <v>0</v>
      </c>
      <c r="U135" s="315">
        <f t="shared" si="48"/>
        <v>0</v>
      </c>
      <c r="V135" s="315">
        <f t="shared" si="49"/>
        <v>0</v>
      </c>
      <c r="W135" s="315">
        <f t="shared" si="49"/>
        <v>0</v>
      </c>
      <c r="X135" s="315">
        <f t="shared" si="49"/>
        <v>0</v>
      </c>
      <c r="Y135" s="315">
        <f t="shared" si="49"/>
        <v>0</v>
      </c>
      <c r="Z135" s="315">
        <f t="shared" si="49"/>
        <v>0</v>
      </c>
      <c r="AA135" s="315">
        <f t="shared" si="49"/>
        <v>0</v>
      </c>
      <c r="AB135" s="315">
        <f t="shared" si="49"/>
        <v>0</v>
      </c>
      <c r="AC135" s="315">
        <f t="shared" si="49"/>
        <v>0</v>
      </c>
      <c r="AD135" s="315">
        <f t="shared" si="49"/>
        <v>0</v>
      </c>
      <c r="AE135" s="315">
        <f t="shared" si="49"/>
        <v>0</v>
      </c>
      <c r="AF135" s="315">
        <f t="shared" si="49"/>
        <v>0</v>
      </c>
      <c r="AG135" s="315">
        <f t="shared" si="49"/>
        <v>0</v>
      </c>
      <c r="AH135" s="315">
        <f t="shared" si="49"/>
        <v>0</v>
      </c>
      <c r="AI135" s="315">
        <f t="shared" si="49"/>
        <v>0</v>
      </c>
      <c r="AJ135" s="315">
        <f t="shared" si="50"/>
        <v>0</v>
      </c>
      <c r="AK135" s="315">
        <f t="shared" si="50"/>
        <v>0</v>
      </c>
      <c r="AL135" s="315">
        <f t="shared" si="50"/>
        <v>0</v>
      </c>
      <c r="AM135" s="315">
        <f t="shared" si="50"/>
        <v>0</v>
      </c>
      <c r="AN135" s="315">
        <f t="shared" si="50"/>
        <v>0</v>
      </c>
      <c r="AO135" s="315">
        <f t="shared" si="50"/>
        <v>0</v>
      </c>
      <c r="AP135" s="315">
        <f t="shared" si="50"/>
        <v>0</v>
      </c>
      <c r="AQ135" s="315">
        <f t="shared" si="50"/>
        <v>0</v>
      </c>
    </row>
    <row r="136" spans="1:43" s="144" customFormat="1" ht="13.35" hidden="1" customHeight="1" outlineLevel="1">
      <c r="A136" s="124"/>
      <c r="B136" s="142" t="str">
        <f t="shared" si="43"/>
        <v>[OTHER] FOR FUTURE INTERNAL BUDGETING PURPOSES</v>
      </c>
      <c r="C136" s="145">
        <f t="shared" si="44"/>
        <v>0</v>
      </c>
      <c r="D136" s="322">
        <f t="shared" si="44"/>
        <v>0</v>
      </c>
      <c r="E136" s="323">
        <f t="shared" si="44"/>
        <v>5</v>
      </c>
      <c r="F136" s="315">
        <f t="shared" si="48"/>
        <v>0</v>
      </c>
      <c r="G136" s="315">
        <f t="shared" si="48"/>
        <v>0</v>
      </c>
      <c r="H136" s="315">
        <f t="shared" si="48"/>
        <v>0</v>
      </c>
      <c r="I136" s="315">
        <f t="shared" si="48"/>
        <v>0</v>
      </c>
      <c r="J136" s="315">
        <f t="shared" si="48"/>
        <v>0</v>
      </c>
      <c r="K136" s="315">
        <f t="shared" si="48"/>
        <v>0</v>
      </c>
      <c r="L136" s="315">
        <f t="shared" si="48"/>
        <v>0</v>
      </c>
      <c r="M136" s="315">
        <f t="shared" si="48"/>
        <v>0</v>
      </c>
      <c r="N136" s="315">
        <f t="shared" si="48"/>
        <v>0</v>
      </c>
      <c r="O136" s="315">
        <f t="shared" si="48"/>
        <v>0</v>
      </c>
      <c r="P136" s="315">
        <f t="shared" si="48"/>
        <v>0</v>
      </c>
      <c r="Q136" s="315">
        <f t="shared" si="48"/>
        <v>0</v>
      </c>
      <c r="R136" s="315">
        <f t="shared" si="48"/>
        <v>0</v>
      </c>
      <c r="S136" s="315">
        <f t="shared" si="48"/>
        <v>0</v>
      </c>
      <c r="T136" s="315">
        <f t="shared" si="48"/>
        <v>0</v>
      </c>
      <c r="U136" s="315">
        <f t="shared" si="48"/>
        <v>0</v>
      </c>
      <c r="V136" s="315">
        <f t="shared" si="49"/>
        <v>0</v>
      </c>
      <c r="W136" s="315">
        <f t="shared" si="49"/>
        <v>0</v>
      </c>
      <c r="X136" s="315">
        <f t="shared" si="49"/>
        <v>0</v>
      </c>
      <c r="Y136" s="315">
        <f t="shared" si="49"/>
        <v>0</v>
      </c>
      <c r="Z136" s="315">
        <f t="shared" si="49"/>
        <v>0</v>
      </c>
      <c r="AA136" s="315">
        <f t="shared" si="49"/>
        <v>0</v>
      </c>
      <c r="AB136" s="315">
        <f t="shared" si="49"/>
        <v>0</v>
      </c>
      <c r="AC136" s="315">
        <f t="shared" si="49"/>
        <v>0</v>
      </c>
      <c r="AD136" s="315">
        <f t="shared" si="49"/>
        <v>0</v>
      </c>
      <c r="AE136" s="315">
        <f t="shared" si="49"/>
        <v>0</v>
      </c>
      <c r="AF136" s="315">
        <f t="shared" si="49"/>
        <v>0</v>
      </c>
      <c r="AG136" s="315">
        <f t="shared" si="49"/>
        <v>0</v>
      </c>
      <c r="AH136" s="315">
        <f t="shared" si="49"/>
        <v>0</v>
      </c>
      <c r="AI136" s="315">
        <f t="shared" si="49"/>
        <v>0</v>
      </c>
      <c r="AJ136" s="315">
        <f t="shared" si="50"/>
        <v>0</v>
      </c>
      <c r="AK136" s="315">
        <f t="shared" si="50"/>
        <v>0</v>
      </c>
      <c r="AL136" s="315">
        <f t="shared" si="50"/>
        <v>0</v>
      </c>
      <c r="AM136" s="315">
        <f t="shared" si="50"/>
        <v>0</v>
      </c>
      <c r="AN136" s="315">
        <f t="shared" si="50"/>
        <v>0</v>
      </c>
      <c r="AO136" s="315">
        <f t="shared" si="50"/>
        <v>0</v>
      </c>
      <c r="AP136" s="315">
        <f t="shared" si="50"/>
        <v>0</v>
      </c>
      <c r="AQ136" s="315">
        <f t="shared" si="50"/>
        <v>0</v>
      </c>
    </row>
    <row r="137" spans="1:43" s="144" customFormat="1" ht="13.35" hidden="1" customHeight="1" outlineLevel="1">
      <c r="A137" s="124"/>
      <c r="B137" s="142" t="str">
        <f t="shared" si="43"/>
        <v>[OTHER] FOR FUTURE INTERNAL BUDGETING PURPOSES</v>
      </c>
      <c r="C137" s="145">
        <f t="shared" si="44"/>
        <v>0</v>
      </c>
      <c r="D137" s="322">
        <f t="shared" si="44"/>
        <v>0</v>
      </c>
      <c r="E137" s="323">
        <f t="shared" si="44"/>
        <v>5</v>
      </c>
      <c r="F137" s="315">
        <f t="shared" si="48"/>
        <v>0</v>
      </c>
      <c r="G137" s="315">
        <f t="shared" si="48"/>
        <v>0</v>
      </c>
      <c r="H137" s="315">
        <f t="shared" si="48"/>
        <v>0</v>
      </c>
      <c r="I137" s="315">
        <f t="shared" si="48"/>
        <v>0</v>
      </c>
      <c r="J137" s="315">
        <f t="shared" si="48"/>
        <v>0</v>
      </c>
      <c r="K137" s="315">
        <f t="shared" si="48"/>
        <v>0</v>
      </c>
      <c r="L137" s="315">
        <f t="shared" si="48"/>
        <v>0</v>
      </c>
      <c r="M137" s="315">
        <f t="shared" si="48"/>
        <v>0</v>
      </c>
      <c r="N137" s="315">
        <f t="shared" si="48"/>
        <v>0</v>
      </c>
      <c r="O137" s="315">
        <f t="shared" si="48"/>
        <v>0</v>
      </c>
      <c r="P137" s="315">
        <f t="shared" si="48"/>
        <v>0</v>
      </c>
      <c r="Q137" s="315">
        <f t="shared" si="48"/>
        <v>0</v>
      </c>
      <c r="R137" s="315">
        <f t="shared" si="48"/>
        <v>0</v>
      </c>
      <c r="S137" s="315">
        <f t="shared" si="48"/>
        <v>0</v>
      </c>
      <c r="T137" s="315">
        <f t="shared" si="48"/>
        <v>0</v>
      </c>
      <c r="U137" s="315">
        <f t="shared" si="48"/>
        <v>0</v>
      </c>
      <c r="V137" s="315">
        <f t="shared" si="49"/>
        <v>0</v>
      </c>
      <c r="W137" s="315">
        <f t="shared" si="49"/>
        <v>0</v>
      </c>
      <c r="X137" s="315">
        <f t="shared" si="49"/>
        <v>0</v>
      </c>
      <c r="Y137" s="315">
        <f t="shared" si="49"/>
        <v>0</v>
      </c>
      <c r="Z137" s="315">
        <f t="shared" si="49"/>
        <v>0</v>
      </c>
      <c r="AA137" s="315">
        <f t="shared" si="49"/>
        <v>0</v>
      </c>
      <c r="AB137" s="315">
        <f t="shared" si="49"/>
        <v>0</v>
      </c>
      <c r="AC137" s="315">
        <f t="shared" si="49"/>
        <v>0</v>
      </c>
      <c r="AD137" s="315">
        <f t="shared" si="49"/>
        <v>0</v>
      </c>
      <c r="AE137" s="315">
        <f t="shared" si="49"/>
        <v>0</v>
      </c>
      <c r="AF137" s="315">
        <f t="shared" si="49"/>
        <v>0</v>
      </c>
      <c r="AG137" s="315">
        <f t="shared" si="49"/>
        <v>0</v>
      </c>
      <c r="AH137" s="315">
        <f t="shared" si="49"/>
        <v>0</v>
      </c>
      <c r="AI137" s="315">
        <f t="shared" si="49"/>
        <v>0</v>
      </c>
      <c r="AJ137" s="315">
        <f t="shared" si="50"/>
        <v>0</v>
      </c>
      <c r="AK137" s="315">
        <f t="shared" si="50"/>
        <v>0</v>
      </c>
      <c r="AL137" s="315">
        <f t="shared" si="50"/>
        <v>0</v>
      </c>
      <c r="AM137" s="315">
        <f t="shared" si="50"/>
        <v>0</v>
      </c>
      <c r="AN137" s="315">
        <f t="shared" si="50"/>
        <v>0</v>
      </c>
      <c r="AO137" s="315">
        <f t="shared" si="50"/>
        <v>0</v>
      </c>
      <c r="AP137" s="315">
        <f t="shared" si="50"/>
        <v>0</v>
      </c>
      <c r="AQ137" s="315">
        <f t="shared" si="50"/>
        <v>0</v>
      </c>
    </row>
    <row r="138" spans="1:43" s="144" customFormat="1" ht="13.35" hidden="1" customHeight="1" outlineLevel="1">
      <c r="A138" s="124"/>
      <c r="B138" s="142" t="str">
        <f t="shared" si="43"/>
        <v>[OTHER] FOR FUTURE INTERNAL BUDGETING PURPOSES</v>
      </c>
      <c r="C138" s="145">
        <f t="shared" si="44"/>
        <v>0</v>
      </c>
      <c r="D138" s="322">
        <f t="shared" si="44"/>
        <v>0</v>
      </c>
      <c r="E138" s="323">
        <f t="shared" si="44"/>
        <v>5</v>
      </c>
      <c r="F138" s="315">
        <f t="shared" si="48"/>
        <v>0</v>
      </c>
      <c r="G138" s="315">
        <f t="shared" si="48"/>
        <v>0</v>
      </c>
      <c r="H138" s="315">
        <f t="shared" si="48"/>
        <v>0</v>
      </c>
      <c r="I138" s="315">
        <f t="shared" si="48"/>
        <v>0</v>
      </c>
      <c r="J138" s="315">
        <f t="shared" si="48"/>
        <v>0</v>
      </c>
      <c r="K138" s="315">
        <f t="shared" si="48"/>
        <v>0</v>
      </c>
      <c r="L138" s="315">
        <f t="shared" si="48"/>
        <v>0</v>
      </c>
      <c r="M138" s="315">
        <f t="shared" si="48"/>
        <v>0</v>
      </c>
      <c r="N138" s="315">
        <f t="shared" si="48"/>
        <v>0</v>
      </c>
      <c r="O138" s="315">
        <f t="shared" si="48"/>
        <v>0</v>
      </c>
      <c r="P138" s="315">
        <f t="shared" si="48"/>
        <v>0</v>
      </c>
      <c r="Q138" s="315">
        <f t="shared" si="48"/>
        <v>0</v>
      </c>
      <c r="R138" s="315">
        <f t="shared" si="48"/>
        <v>0</v>
      </c>
      <c r="S138" s="315">
        <f t="shared" si="48"/>
        <v>0</v>
      </c>
      <c r="T138" s="315">
        <f t="shared" si="48"/>
        <v>0</v>
      </c>
      <c r="U138" s="315">
        <f t="shared" si="48"/>
        <v>0</v>
      </c>
      <c r="V138" s="315">
        <f t="shared" si="49"/>
        <v>0</v>
      </c>
      <c r="W138" s="315">
        <f t="shared" si="49"/>
        <v>0</v>
      </c>
      <c r="X138" s="315">
        <f t="shared" si="49"/>
        <v>0</v>
      </c>
      <c r="Y138" s="315">
        <f t="shared" si="49"/>
        <v>0</v>
      </c>
      <c r="Z138" s="315">
        <f t="shared" si="49"/>
        <v>0</v>
      </c>
      <c r="AA138" s="315">
        <f t="shared" si="49"/>
        <v>0</v>
      </c>
      <c r="AB138" s="315">
        <f t="shared" si="49"/>
        <v>0</v>
      </c>
      <c r="AC138" s="315">
        <f t="shared" si="49"/>
        <v>0</v>
      </c>
      <c r="AD138" s="315">
        <f t="shared" si="49"/>
        <v>0</v>
      </c>
      <c r="AE138" s="315">
        <f t="shared" si="49"/>
        <v>0</v>
      </c>
      <c r="AF138" s="315">
        <f t="shared" si="49"/>
        <v>0</v>
      </c>
      <c r="AG138" s="315">
        <f t="shared" si="49"/>
        <v>0</v>
      </c>
      <c r="AH138" s="315">
        <f t="shared" si="49"/>
        <v>0</v>
      </c>
      <c r="AI138" s="315">
        <f t="shared" si="49"/>
        <v>0</v>
      </c>
      <c r="AJ138" s="315">
        <f t="shared" si="50"/>
        <v>0</v>
      </c>
      <c r="AK138" s="315">
        <f t="shared" si="50"/>
        <v>0</v>
      </c>
      <c r="AL138" s="315">
        <f t="shared" si="50"/>
        <v>0</v>
      </c>
      <c r="AM138" s="315">
        <f t="shared" si="50"/>
        <v>0</v>
      </c>
      <c r="AN138" s="315">
        <f t="shared" si="50"/>
        <v>0</v>
      </c>
      <c r="AO138" s="315">
        <f t="shared" si="50"/>
        <v>0</v>
      </c>
      <c r="AP138" s="315">
        <f t="shared" si="50"/>
        <v>0</v>
      </c>
      <c r="AQ138" s="315">
        <f t="shared" si="50"/>
        <v>0</v>
      </c>
    </row>
    <row r="139" spans="1:43" s="144" customFormat="1" ht="13.35" hidden="1" customHeight="1" outlineLevel="1">
      <c r="A139" s="124"/>
      <c r="B139" s="142" t="str">
        <f t="shared" si="43"/>
        <v>[OTHER] FOR FUTURE INTERNAL BUDGETING PURPOSES</v>
      </c>
      <c r="C139" s="145">
        <f t="shared" si="44"/>
        <v>0</v>
      </c>
      <c r="D139" s="322">
        <f t="shared" si="44"/>
        <v>0</v>
      </c>
      <c r="E139" s="323">
        <f t="shared" si="44"/>
        <v>5</v>
      </c>
      <c r="F139" s="315">
        <f t="shared" si="48"/>
        <v>0</v>
      </c>
      <c r="G139" s="315">
        <f t="shared" si="48"/>
        <v>0</v>
      </c>
      <c r="H139" s="315">
        <f t="shared" si="48"/>
        <v>0</v>
      </c>
      <c r="I139" s="315">
        <f t="shared" si="48"/>
        <v>0</v>
      </c>
      <c r="J139" s="315">
        <f t="shared" si="48"/>
        <v>0</v>
      </c>
      <c r="K139" s="315">
        <f t="shared" si="48"/>
        <v>0</v>
      </c>
      <c r="L139" s="315">
        <f t="shared" si="48"/>
        <v>0</v>
      </c>
      <c r="M139" s="315">
        <f t="shared" si="48"/>
        <v>0</v>
      </c>
      <c r="N139" s="315">
        <f t="shared" si="48"/>
        <v>0</v>
      </c>
      <c r="O139" s="315">
        <f t="shared" si="48"/>
        <v>0</v>
      </c>
      <c r="P139" s="315">
        <f t="shared" si="48"/>
        <v>0</v>
      </c>
      <c r="Q139" s="315">
        <f t="shared" si="48"/>
        <v>0</v>
      </c>
      <c r="R139" s="315">
        <f t="shared" si="48"/>
        <v>0</v>
      </c>
      <c r="S139" s="315">
        <f t="shared" si="48"/>
        <v>0</v>
      </c>
      <c r="T139" s="315">
        <f t="shared" si="48"/>
        <v>0</v>
      </c>
      <c r="U139" s="315">
        <f t="shared" si="48"/>
        <v>0</v>
      </c>
      <c r="V139" s="315">
        <f t="shared" si="49"/>
        <v>0</v>
      </c>
      <c r="W139" s="315">
        <f t="shared" si="49"/>
        <v>0</v>
      </c>
      <c r="X139" s="315">
        <f t="shared" si="49"/>
        <v>0</v>
      </c>
      <c r="Y139" s="315">
        <f t="shared" si="49"/>
        <v>0</v>
      </c>
      <c r="Z139" s="315">
        <f t="shared" si="49"/>
        <v>0</v>
      </c>
      <c r="AA139" s="315">
        <f t="shared" si="49"/>
        <v>0</v>
      </c>
      <c r="AB139" s="315">
        <f t="shared" si="49"/>
        <v>0</v>
      </c>
      <c r="AC139" s="315">
        <f t="shared" si="49"/>
        <v>0</v>
      </c>
      <c r="AD139" s="315">
        <f t="shared" si="49"/>
        <v>0</v>
      </c>
      <c r="AE139" s="315">
        <f t="shared" si="49"/>
        <v>0</v>
      </c>
      <c r="AF139" s="315">
        <f t="shared" si="49"/>
        <v>0</v>
      </c>
      <c r="AG139" s="315">
        <f t="shared" si="49"/>
        <v>0</v>
      </c>
      <c r="AH139" s="315">
        <f t="shared" si="49"/>
        <v>0</v>
      </c>
      <c r="AI139" s="315">
        <f t="shared" si="49"/>
        <v>0</v>
      </c>
      <c r="AJ139" s="315">
        <f t="shared" si="50"/>
        <v>0</v>
      </c>
      <c r="AK139" s="315">
        <f t="shared" si="50"/>
        <v>0</v>
      </c>
      <c r="AL139" s="315">
        <f t="shared" si="50"/>
        <v>0</v>
      </c>
      <c r="AM139" s="315">
        <f t="shared" si="50"/>
        <v>0</v>
      </c>
      <c r="AN139" s="315">
        <f t="shared" si="50"/>
        <v>0</v>
      </c>
      <c r="AO139" s="315">
        <f t="shared" si="50"/>
        <v>0</v>
      </c>
      <c r="AP139" s="315">
        <f t="shared" si="50"/>
        <v>0</v>
      </c>
      <c r="AQ139" s="315">
        <f t="shared" si="50"/>
        <v>0</v>
      </c>
    </row>
    <row r="140" spans="1:43" s="144" customFormat="1" ht="13.35" hidden="1" customHeight="1" outlineLevel="1">
      <c r="A140" s="124"/>
      <c r="B140" s="142" t="str">
        <f t="shared" si="43"/>
        <v>[OTHER] FOR FUTURE INTERNAL BUDGETING PURPOSES</v>
      </c>
      <c r="C140" s="145">
        <f t="shared" si="44"/>
        <v>0</v>
      </c>
      <c r="D140" s="322">
        <f t="shared" si="44"/>
        <v>0</v>
      </c>
      <c r="E140" s="323">
        <f t="shared" si="44"/>
        <v>5</v>
      </c>
      <c r="F140" s="315">
        <f t="shared" si="48"/>
        <v>0</v>
      </c>
      <c r="G140" s="315">
        <f t="shared" si="48"/>
        <v>0</v>
      </c>
      <c r="H140" s="315">
        <f t="shared" si="48"/>
        <v>0</v>
      </c>
      <c r="I140" s="315">
        <f t="shared" si="48"/>
        <v>0</v>
      </c>
      <c r="J140" s="315">
        <f t="shared" si="48"/>
        <v>0</v>
      </c>
      <c r="K140" s="315">
        <f t="shared" si="48"/>
        <v>0</v>
      </c>
      <c r="L140" s="315">
        <f t="shared" si="48"/>
        <v>0</v>
      </c>
      <c r="M140" s="315">
        <f t="shared" si="48"/>
        <v>0</v>
      </c>
      <c r="N140" s="315">
        <f t="shared" si="48"/>
        <v>0</v>
      </c>
      <c r="O140" s="315">
        <f t="shared" si="48"/>
        <v>0</v>
      </c>
      <c r="P140" s="315">
        <f t="shared" si="48"/>
        <v>0</v>
      </c>
      <c r="Q140" s="315">
        <f t="shared" si="48"/>
        <v>0</v>
      </c>
      <c r="R140" s="315">
        <f t="shared" si="48"/>
        <v>0</v>
      </c>
      <c r="S140" s="315">
        <f t="shared" si="48"/>
        <v>0</v>
      </c>
      <c r="T140" s="315">
        <f t="shared" si="48"/>
        <v>0</v>
      </c>
      <c r="U140" s="315">
        <f t="shared" si="48"/>
        <v>0</v>
      </c>
      <c r="V140" s="315">
        <f t="shared" si="49"/>
        <v>0</v>
      </c>
      <c r="W140" s="315">
        <f t="shared" si="49"/>
        <v>0</v>
      </c>
      <c r="X140" s="315">
        <f t="shared" si="49"/>
        <v>0</v>
      </c>
      <c r="Y140" s="315">
        <f t="shared" si="49"/>
        <v>0</v>
      </c>
      <c r="Z140" s="315">
        <f t="shared" si="49"/>
        <v>0</v>
      </c>
      <c r="AA140" s="315">
        <f t="shared" si="49"/>
        <v>0</v>
      </c>
      <c r="AB140" s="315">
        <f t="shared" si="49"/>
        <v>0</v>
      </c>
      <c r="AC140" s="315">
        <f t="shared" si="49"/>
        <v>0</v>
      </c>
      <c r="AD140" s="315">
        <f t="shared" si="49"/>
        <v>0</v>
      </c>
      <c r="AE140" s="315">
        <f t="shared" si="49"/>
        <v>0</v>
      </c>
      <c r="AF140" s="315">
        <f t="shared" si="49"/>
        <v>0</v>
      </c>
      <c r="AG140" s="315">
        <f t="shared" si="49"/>
        <v>0</v>
      </c>
      <c r="AH140" s="315">
        <f t="shared" si="49"/>
        <v>0</v>
      </c>
      <c r="AI140" s="315">
        <f t="shared" si="49"/>
        <v>0</v>
      </c>
      <c r="AJ140" s="315">
        <f t="shared" si="50"/>
        <v>0</v>
      </c>
      <c r="AK140" s="315">
        <f t="shared" si="50"/>
        <v>0</v>
      </c>
      <c r="AL140" s="315">
        <f t="shared" si="50"/>
        <v>0</v>
      </c>
      <c r="AM140" s="315">
        <f t="shared" si="50"/>
        <v>0</v>
      </c>
      <c r="AN140" s="315">
        <f t="shared" si="50"/>
        <v>0</v>
      </c>
      <c r="AO140" s="315">
        <f t="shared" si="50"/>
        <v>0</v>
      </c>
      <c r="AP140" s="315">
        <f t="shared" si="50"/>
        <v>0</v>
      </c>
      <c r="AQ140" s="315">
        <f t="shared" si="50"/>
        <v>0</v>
      </c>
    </row>
    <row r="141" spans="1:43" s="144" customFormat="1" ht="13.35" customHeight="1" collapsed="1">
      <c r="A141" s="124"/>
      <c r="B141" s="142"/>
      <c r="C141" s="145"/>
      <c r="D141" s="322"/>
      <c r="E141" s="323"/>
      <c r="F141" s="315"/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</row>
    <row r="142" spans="1:43" ht="13.35" customHeight="1">
      <c r="B142" s="142" t="str">
        <f>B75</f>
        <v>Future Farm Loans</v>
      </c>
      <c r="D142" s="322">
        <f>D74</f>
        <v>44104</v>
      </c>
      <c r="E142" s="323">
        <f>E74</f>
        <v>5</v>
      </c>
      <c r="F142" s="318">
        <f>SUM($F74:F74)</f>
        <v>0</v>
      </c>
      <c r="G142" s="318">
        <f>SUM($F74:G74)</f>
        <v>0</v>
      </c>
      <c r="H142" s="318">
        <f>SUM($F74:H74)</f>
        <v>0</v>
      </c>
      <c r="I142" s="318">
        <f>SUM($F74:I74)</f>
        <v>0</v>
      </c>
      <c r="J142" s="318">
        <f>SUM($F74:J74)</f>
        <v>0</v>
      </c>
      <c r="K142" s="318">
        <f>SUM($F74:K74)</f>
        <v>0</v>
      </c>
      <c r="L142" s="318">
        <f>SUM($F74:L74)</f>
        <v>0</v>
      </c>
      <c r="M142" s="318">
        <f>SUM($F74:M74)</f>
        <v>0</v>
      </c>
      <c r="N142" s="318">
        <f>SUM($F74:N74)</f>
        <v>300000</v>
      </c>
      <c r="O142" s="318">
        <f>SUM($F74:O74)</f>
        <v>600000</v>
      </c>
      <c r="P142" s="318">
        <f>SUM($F74:P74)</f>
        <v>900000</v>
      </c>
      <c r="Q142" s="318">
        <f>SUM($F74:Q74)</f>
        <v>1200000</v>
      </c>
      <c r="R142" s="318">
        <f>SUM($F74:R74)</f>
        <v>3800000</v>
      </c>
      <c r="S142" s="318">
        <f>SUM($F74:S74)</f>
        <v>6400000</v>
      </c>
      <c r="T142" s="318">
        <f>SUM($F74:T74)</f>
        <v>9000000</v>
      </c>
      <c r="U142" s="318">
        <f>SUM($F74:U74)</f>
        <v>11600000</v>
      </c>
      <c r="V142" s="318">
        <f>SUM($F74:V74)</f>
        <v>14200000</v>
      </c>
      <c r="W142" s="318">
        <f>SUM($F74:W74)</f>
        <v>16800000</v>
      </c>
      <c r="X142" s="318">
        <f>SUM($F74:X74)</f>
        <v>19400000</v>
      </c>
      <c r="Y142" s="318">
        <f>SUM($F74:Y74)</f>
        <v>22000000</v>
      </c>
      <c r="Z142" s="318">
        <f>SUM($F74:Z74)</f>
        <v>24600000</v>
      </c>
      <c r="AA142" s="318">
        <f>SUM($F74:AA74)</f>
        <v>27200000</v>
      </c>
      <c r="AB142" s="318">
        <f>SUM($F74:AB74)</f>
        <v>29800000</v>
      </c>
      <c r="AC142" s="318">
        <f>SUM($F74:AC74)</f>
        <v>32400000</v>
      </c>
      <c r="AD142" s="318">
        <f>SUM($F74:AD74)</f>
        <v>42900000</v>
      </c>
      <c r="AE142" s="318">
        <f>SUM($F74:AE74)</f>
        <v>53400000</v>
      </c>
      <c r="AF142" s="318">
        <f>SUM($F74:AF74)</f>
        <v>63900000</v>
      </c>
      <c r="AG142" s="318">
        <f>SUM($F74:AG74)</f>
        <v>74400000</v>
      </c>
      <c r="AH142" s="318">
        <f>SUM($F74:AH74)</f>
        <v>84900000</v>
      </c>
      <c r="AI142" s="318">
        <f>SUM($F74:AI74)</f>
        <v>95400000</v>
      </c>
      <c r="AJ142" s="318">
        <f>SUM($F74:AJ74)</f>
        <v>105900000</v>
      </c>
      <c r="AK142" s="318">
        <f>SUM($F74:AK74)</f>
        <v>116400000</v>
      </c>
      <c r="AL142" s="318">
        <f>SUM($F74:AL74)</f>
        <v>126900000</v>
      </c>
      <c r="AM142" s="318">
        <f>SUM($F74:AM74)</f>
        <v>137400000</v>
      </c>
      <c r="AN142" s="318">
        <f>SUM($F74:AN74)</f>
        <v>147900000</v>
      </c>
      <c r="AO142" s="318">
        <f>SUM($F74:AO74)</f>
        <v>158400000</v>
      </c>
      <c r="AP142" s="318">
        <f>SUM($F74:AP74)</f>
        <v>168900000</v>
      </c>
      <c r="AQ142" s="318">
        <f>SUM($F74:AQ74)</f>
        <v>179400000</v>
      </c>
    </row>
    <row r="143" spans="1:43" ht="13.35" customHeight="1">
      <c r="A143" s="124" t="s">
        <v>47</v>
      </c>
      <c r="B143" s="146"/>
      <c r="C143" s="145">
        <f>C75</f>
        <v>100000</v>
      </c>
      <c r="D143" s="145">
        <f t="shared" ref="D143:E143" si="51">D75</f>
        <v>200000</v>
      </c>
      <c r="E143" s="145">
        <f t="shared" si="51"/>
        <v>300000</v>
      </c>
      <c r="F143" s="144"/>
      <c r="G143" s="160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8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60"/>
      <c r="AF143" s="160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</row>
    <row r="144" spans="1:43" s="144" customFormat="1" ht="13.35" customHeight="1">
      <c r="A144" s="124"/>
      <c r="B144" s="146"/>
      <c r="C144" s="125"/>
      <c r="D144" s="125"/>
      <c r="E144" s="125"/>
      <c r="G144" s="160"/>
      <c r="T144" s="156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</row>
    <row r="145" spans="1:43" s="144" customFormat="1" ht="13.35" customHeight="1">
      <c r="A145" s="124"/>
      <c r="B145" s="142" t="s">
        <v>174</v>
      </c>
      <c r="C145" s="125"/>
      <c r="D145" s="125"/>
      <c r="E145" s="125"/>
      <c r="F145" s="200">
        <f>COUNTIF(F87:F142,"&gt;0")</f>
        <v>15</v>
      </c>
      <c r="G145" s="150">
        <f>F149</f>
        <v>15</v>
      </c>
      <c r="H145" s="150">
        <f t="shared" ref="H145:AQ145" si="52">G149</f>
        <v>15</v>
      </c>
      <c r="I145" s="150">
        <f t="shared" si="52"/>
        <v>15</v>
      </c>
      <c r="J145" s="150">
        <f t="shared" si="52"/>
        <v>15</v>
      </c>
      <c r="K145" s="150">
        <f t="shared" si="52"/>
        <v>15</v>
      </c>
      <c r="L145" s="150">
        <f t="shared" si="52"/>
        <v>16</v>
      </c>
      <c r="M145" s="150">
        <f t="shared" si="52"/>
        <v>19</v>
      </c>
      <c r="N145" s="150">
        <f t="shared" si="52"/>
        <v>22</v>
      </c>
      <c r="O145" s="150">
        <f t="shared" si="52"/>
        <v>29</v>
      </c>
      <c r="P145" s="150">
        <f t="shared" si="52"/>
        <v>36</v>
      </c>
      <c r="Q145" s="150">
        <f t="shared" si="52"/>
        <v>42</v>
      </c>
      <c r="R145" s="150">
        <f t="shared" si="52"/>
        <v>45</v>
      </c>
      <c r="S145" s="150">
        <f t="shared" si="52"/>
        <v>58</v>
      </c>
      <c r="T145" s="150">
        <f t="shared" si="52"/>
        <v>71</v>
      </c>
      <c r="U145" s="150">
        <f t="shared" si="52"/>
        <v>84</v>
      </c>
      <c r="V145" s="150">
        <f t="shared" si="52"/>
        <v>97</v>
      </c>
      <c r="W145" s="150">
        <f t="shared" si="52"/>
        <v>110</v>
      </c>
      <c r="X145" s="150">
        <f t="shared" si="52"/>
        <v>123</v>
      </c>
      <c r="Y145" s="150">
        <f t="shared" si="52"/>
        <v>136</v>
      </c>
      <c r="Z145" s="150">
        <f t="shared" si="52"/>
        <v>149</v>
      </c>
      <c r="AA145" s="150">
        <f t="shared" si="52"/>
        <v>162</v>
      </c>
      <c r="AB145" s="150">
        <f t="shared" si="52"/>
        <v>175</v>
      </c>
      <c r="AC145" s="150">
        <f t="shared" si="52"/>
        <v>188</v>
      </c>
      <c r="AD145" s="150">
        <f t="shared" si="52"/>
        <v>201</v>
      </c>
      <c r="AE145" s="150">
        <f t="shared" si="52"/>
        <v>236</v>
      </c>
      <c r="AF145" s="150">
        <f t="shared" si="52"/>
        <v>271</v>
      </c>
      <c r="AG145" s="150">
        <f t="shared" si="52"/>
        <v>306</v>
      </c>
      <c r="AH145" s="150">
        <f t="shared" si="52"/>
        <v>341</v>
      </c>
      <c r="AI145" s="150">
        <f t="shared" si="52"/>
        <v>376</v>
      </c>
      <c r="AJ145" s="150">
        <f t="shared" si="52"/>
        <v>411</v>
      </c>
      <c r="AK145" s="150">
        <f t="shared" si="52"/>
        <v>445</v>
      </c>
      <c r="AL145" s="150">
        <f t="shared" si="52"/>
        <v>480</v>
      </c>
      <c r="AM145" s="150">
        <f t="shared" si="52"/>
        <v>514</v>
      </c>
      <c r="AN145" s="150">
        <f t="shared" si="52"/>
        <v>549</v>
      </c>
      <c r="AO145" s="150">
        <f t="shared" si="52"/>
        <v>584</v>
      </c>
      <c r="AP145" s="150">
        <f t="shared" si="52"/>
        <v>619</v>
      </c>
      <c r="AQ145" s="150">
        <f t="shared" si="52"/>
        <v>654</v>
      </c>
    </row>
    <row r="146" spans="1:43" s="144" customFormat="1" ht="13.35" customHeight="1">
      <c r="A146" s="124"/>
      <c r="B146" s="360" t="s">
        <v>260</v>
      </c>
      <c r="C146" s="125"/>
      <c r="D146" s="125"/>
      <c r="E146" s="125"/>
      <c r="F146" s="332">
        <f t="shared" ref="F146:AQ146" si="53">F78</f>
        <v>0</v>
      </c>
      <c r="G146" s="332">
        <f t="shared" si="53"/>
        <v>0</v>
      </c>
      <c r="H146" s="332">
        <f t="shared" si="53"/>
        <v>0</v>
      </c>
      <c r="I146" s="332">
        <f t="shared" si="53"/>
        <v>0</v>
      </c>
      <c r="J146" s="332">
        <f t="shared" si="53"/>
        <v>0</v>
      </c>
      <c r="K146" s="332">
        <f t="shared" si="53"/>
        <v>1</v>
      </c>
      <c r="L146" s="332">
        <f t="shared" si="53"/>
        <v>3</v>
      </c>
      <c r="M146" s="332">
        <f t="shared" si="53"/>
        <v>3</v>
      </c>
      <c r="N146" s="332">
        <f t="shared" si="53"/>
        <v>4</v>
      </c>
      <c r="O146" s="332">
        <f t="shared" si="53"/>
        <v>4</v>
      </c>
      <c r="P146" s="332">
        <f t="shared" si="53"/>
        <v>3</v>
      </c>
      <c r="Q146" s="332">
        <f t="shared" si="53"/>
        <v>0</v>
      </c>
      <c r="R146" s="332">
        <f t="shared" si="53"/>
        <v>0</v>
      </c>
      <c r="S146" s="332">
        <f t="shared" si="53"/>
        <v>0</v>
      </c>
      <c r="T146" s="332">
        <f t="shared" si="53"/>
        <v>0</v>
      </c>
      <c r="U146" s="332">
        <f t="shared" si="53"/>
        <v>0</v>
      </c>
      <c r="V146" s="332">
        <f t="shared" si="53"/>
        <v>0</v>
      </c>
      <c r="W146" s="332">
        <f t="shared" si="53"/>
        <v>0</v>
      </c>
      <c r="X146" s="332">
        <f t="shared" si="53"/>
        <v>0</v>
      </c>
      <c r="Y146" s="332">
        <f t="shared" si="53"/>
        <v>0</v>
      </c>
      <c r="Z146" s="332">
        <f t="shared" si="53"/>
        <v>0</v>
      </c>
      <c r="AA146" s="332">
        <f t="shared" si="53"/>
        <v>0</v>
      </c>
      <c r="AB146" s="332">
        <f t="shared" si="53"/>
        <v>0</v>
      </c>
      <c r="AC146" s="332">
        <f t="shared" si="53"/>
        <v>0</v>
      </c>
      <c r="AD146" s="332">
        <f t="shared" si="53"/>
        <v>0</v>
      </c>
      <c r="AE146" s="332">
        <f t="shared" si="53"/>
        <v>0</v>
      </c>
      <c r="AF146" s="332">
        <f t="shared" si="53"/>
        <v>0</v>
      </c>
      <c r="AG146" s="332">
        <f t="shared" si="53"/>
        <v>0</v>
      </c>
      <c r="AH146" s="332">
        <f t="shared" si="53"/>
        <v>0</v>
      </c>
      <c r="AI146" s="332">
        <f t="shared" si="53"/>
        <v>0</v>
      </c>
      <c r="AJ146" s="332">
        <f t="shared" si="53"/>
        <v>0</v>
      </c>
      <c r="AK146" s="332">
        <f t="shared" si="53"/>
        <v>0</v>
      </c>
      <c r="AL146" s="332">
        <f t="shared" si="53"/>
        <v>0</v>
      </c>
      <c r="AM146" s="332">
        <f t="shared" si="53"/>
        <v>0</v>
      </c>
      <c r="AN146" s="332">
        <f t="shared" si="53"/>
        <v>0</v>
      </c>
      <c r="AO146" s="332">
        <f t="shared" si="53"/>
        <v>0</v>
      </c>
      <c r="AP146" s="332">
        <f t="shared" si="53"/>
        <v>0</v>
      </c>
      <c r="AQ146" s="332">
        <f t="shared" si="53"/>
        <v>0</v>
      </c>
    </row>
    <row r="147" spans="1:43" s="144" customFormat="1" ht="13.35" customHeight="1">
      <c r="A147" s="124"/>
      <c r="B147" s="360" t="s">
        <v>261</v>
      </c>
      <c r="C147" s="125"/>
      <c r="D147" s="125"/>
      <c r="E147" s="125"/>
      <c r="F147" s="332">
        <f t="shared" ref="F147:AQ147" si="54">F79</f>
        <v>0</v>
      </c>
      <c r="G147" s="332">
        <f t="shared" si="54"/>
        <v>0</v>
      </c>
      <c r="H147" s="332">
        <f t="shared" si="54"/>
        <v>0</v>
      </c>
      <c r="I147" s="332">
        <f t="shared" si="54"/>
        <v>0</v>
      </c>
      <c r="J147" s="332">
        <f t="shared" si="54"/>
        <v>0</v>
      </c>
      <c r="K147" s="332">
        <f t="shared" si="54"/>
        <v>0</v>
      </c>
      <c r="L147" s="332">
        <f t="shared" si="54"/>
        <v>0</v>
      </c>
      <c r="M147" s="332">
        <f t="shared" si="54"/>
        <v>0</v>
      </c>
      <c r="N147" s="332">
        <f t="shared" si="54"/>
        <v>3</v>
      </c>
      <c r="O147" s="332">
        <f t="shared" si="54"/>
        <v>3</v>
      </c>
      <c r="P147" s="332">
        <f t="shared" si="54"/>
        <v>3</v>
      </c>
      <c r="Q147" s="332">
        <f t="shared" si="54"/>
        <v>3</v>
      </c>
      <c r="R147" s="332">
        <f t="shared" si="54"/>
        <v>13</v>
      </c>
      <c r="S147" s="332">
        <f t="shared" si="54"/>
        <v>13</v>
      </c>
      <c r="T147" s="332">
        <f t="shared" si="54"/>
        <v>13</v>
      </c>
      <c r="U147" s="332">
        <f t="shared" si="54"/>
        <v>13</v>
      </c>
      <c r="V147" s="332">
        <f t="shared" si="54"/>
        <v>13</v>
      </c>
      <c r="W147" s="332">
        <f t="shared" si="54"/>
        <v>13</v>
      </c>
      <c r="X147" s="332">
        <f t="shared" si="54"/>
        <v>13</v>
      </c>
      <c r="Y147" s="332">
        <f t="shared" si="54"/>
        <v>13</v>
      </c>
      <c r="Z147" s="332">
        <f t="shared" si="54"/>
        <v>13</v>
      </c>
      <c r="AA147" s="332">
        <f t="shared" si="54"/>
        <v>13</v>
      </c>
      <c r="AB147" s="332">
        <f t="shared" si="54"/>
        <v>13</v>
      </c>
      <c r="AC147" s="332">
        <f t="shared" si="54"/>
        <v>13</v>
      </c>
      <c r="AD147" s="332">
        <f t="shared" si="54"/>
        <v>35</v>
      </c>
      <c r="AE147" s="332">
        <f t="shared" si="54"/>
        <v>35</v>
      </c>
      <c r="AF147" s="332">
        <f t="shared" si="54"/>
        <v>35</v>
      </c>
      <c r="AG147" s="332">
        <f t="shared" si="54"/>
        <v>35</v>
      </c>
      <c r="AH147" s="332">
        <f t="shared" si="54"/>
        <v>35</v>
      </c>
      <c r="AI147" s="332">
        <f t="shared" si="54"/>
        <v>35</v>
      </c>
      <c r="AJ147" s="332">
        <f t="shared" si="54"/>
        <v>35</v>
      </c>
      <c r="AK147" s="332">
        <f t="shared" si="54"/>
        <v>35</v>
      </c>
      <c r="AL147" s="332">
        <f t="shared" si="54"/>
        <v>35</v>
      </c>
      <c r="AM147" s="332">
        <f t="shared" si="54"/>
        <v>35</v>
      </c>
      <c r="AN147" s="332">
        <f t="shared" si="54"/>
        <v>35</v>
      </c>
      <c r="AO147" s="332">
        <f t="shared" si="54"/>
        <v>35</v>
      </c>
      <c r="AP147" s="332">
        <f t="shared" si="54"/>
        <v>35</v>
      </c>
      <c r="AQ147" s="332">
        <f t="shared" si="54"/>
        <v>35</v>
      </c>
    </row>
    <row r="148" spans="1:43" s="144" customFormat="1" ht="13.35" customHeight="1">
      <c r="A148" s="124"/>
      <c r="B148" s="360" t="s">
        <v>176</v>
      </c>
      <c r="C148" s="125"/>
      <c r="D148" s="125"/>
      <c r="E148" s="125"/>
      <c r="G148" s="160">
        <f t="shared" ref="G148:AQ148" si="55">-COUNTIFS(G87:G142,"=0",F87:F142,"&gt;0")</f>
        <v>0</v>
      </c>
      <c r="H148" s="160">
        <f t="shared" si="55"/>
        <v>0</v>
      </c>
      <c r="I148" s="160">
        <f t="shared" si="55"/>
        <v>0</v>
      </c>
      <c r="J148" s="160">
        <f t="shared" si="55"/>
        <v>0</v>
      </c>
      <c r="K148" s="160">
        <f t="shared" si="55"/>
        <v>0</v>
      </c>
      <c r="L148" s="160">
        <f t="shared" si="55"/>
        <v>0</v>
      </c>
      <c r="M148" s="160">
        <f t="shared" si="55"/>
        <v>0</v>
      </c>
      <c r="N148" s="160">
        <f t="shared" si="55"/>
        <v>0</v>
      </c>
      <c r="O148" s="160">
        <f t="shared" si="55"/>
        <v>0</v>
      </c>
      <c r="P148" s="160">
        <f t="shared" si="55"/>
        <v>0</v>
      </c>
      <c r="Q148" s="160">
        <f t="shared" si="55"/>
        <v>0</v>
      </c>
      <c r="R148" s="160">
        <f t="shared" si="55"/>
        <v>0</v>
      </c>
      <c r="S148" s="160">
        <f t="shared" si="55"/>
        <v>0</v>
      </c>
      <c r="T148" s="160">
        <f t="shared" si="55"/>
        <v>0</v>
      </c>
      <c r="U148" s="160">
        <f t="shared" si="55"/>
        <v>0</v>
      </c>
      <c r="V148" s="160">
        <f t="shared" si="55"/>
        <v>0</v>
      </c>
      <c r="W148" s="160">
        <f t="shared" si="55"/>
        <v>0</v>
      </c>
      <c r="X148" s="160">
        <f t="shared" si="55"/>
        <v>0</v>
      </c>
      <c r="Y148" s="160">
        <f t="shared" si="55"/>
        <v>0</v>
      </c>
      <c r="Z148" s="160">
        <f t="shared" si="55"/>
        <v>0</v>
      </c>
      <c r="AA148" s="160">
        <f t="shared" si="55"/>
        <v>0</v>
      </c>
      <c r="AB148" s="160">
        <f t="shared" si="55"/>
        <v>0</v>
      </c>
      <c r="AC148" s="160">
        <f t="shared" si="55"/>
        <v>0</v>
      </c>
      <c r="AD148" s="160">
        <f t="shared" si="55"/>
        <v>0</v>
      </c>
      <c r="AE148" s="160">
        <f t="shared" si="55"/>
        <v>0</v>
      </c>
      <c r="AF148" s="160">
        <f t="shared" si="55"/>
        <v>0</v>
      </c>
      <c r="AG148" s="160">
        <f t="shared" si="55"/>
        <v>0</v>
      </c>
      <c r="AH148" s="160">
        <f t="shared" si="55"/>
        <v>0</v>
      </c>
      <c r="AI148" s="160">
        <f t="shared" si="55"/>
        <v>0</v>
      </c>
      <c r="AJ148" s="160">
        <f t="shared" si="55"/>
        <v>-1</v>
      </c>
      <c r="AK148" s="160">
        <f t="shared" si="55"/>
        <v>0</v>
      </c>
      <c r="AL148" s="160">
        <f t="shared" si="55"/>
        <v>-1</v>
      </c>
      <c r="AM148" s="160">
        <f t="shared" si="55"/>
        <v>0</v>
      </c>
      <c r="AN148" s="160">
        <f t="shared" si="55"/>
        <v>0</v>
      </c>
      <c r="AO148" s="160">
        <f t="shared" si="55"/>
        <v>0</v>
      </c>
      <c r="AP148" s="160">
        <f t="shared" si="55"/>
        <v>0</v>
      </c>
      <c r="AQ148" s="160">
        <f t="shared" si="55"/>
        <v>0</v>
      </c>
    </row>
    <row r="149" spans="1:43" ht="13.35" customHeight="1">
      <c r="B149" s="357" t="s">
        <v>177</v>
      </c>
      <c r="C149" s="358"/>
      <c r="D149" s="358"/>
      <c r="E149" s="358"/>
      <c r="F149" s="359">
        <f>SUM(F145:F148)</f>
        <v>15</v>
      </c>
      <c r="G149" s="359">
        <f t="shared" ref="G149:AQ149" si="56">SUM(G145:G148)</f>
        <v>15</v>
      </c>
      <c r="H149" s="359">
        <f t="shared" si="56"/>
        <v>15</v>
      </c>
      <c r="I149" s="359">
        <f t="shared" si="56"/>
        <v>15</v>
      </c>
      <c r="J149" s="359">
        <f t="shared" si="56"/>
        <v>15</v>
      </c>
      <c r="K149" s="359">
        <f t="shared" si="56"/>
        <v>16</v>
      </c>
      <c r="L149" s="359">
        <f t="shared" si="56"/>
        <v>19</v>
      </c>
      <c r="M149" s="359">
        <f t="shared" si="56"/>
        <v>22</v>
      </c>
      <c r="N149" s="359">
        <f t="shared" si="56"/>
        <v>29</v>
      </c>
      <c r="O149" s="359">
        <f t="shared" si="56"/>
        <v>36</v>
      </c>
      <c r="P149" s="359">
        <f t="shared" si="56"/>
        <v>42</v>
      </c>
      <c r="Q149" s="359">
        <f t="shared" si="56"/>
        <v>45</v>
      </c>
      <c r="R149" s="359">
        <f t="shared" si="56"/>
        <v>58</v>
      </c>
      <c r="S149" s="359">
        <f t="shared" si="56"/>
        <v>71</v>
      </c>
      <c r="T149" s="359">
        <f t="shared" si="56"/>
        <v>84</v>
      </c>
      <c r="U149" s="359">
        <f t="shared" si="56"/>
        <v>97</v>
      </c>
      <c r="V149" s="359">
        <f t="shared" si="56"/>
        <v>110</v>
      </c>
      <c r="W149" s="359">
        <f t="shared" si="56"/>
        <v>123</v>
      </c>
      <c r="X149" s="359">
        <f t="shared" si="56"/>
        <v>136</v>
      </c>
      <c r="Y149" s="359">
        <f t="shared" si="56"/>
        <v>149</v>
      </c>
      <c r="Z149" s="359">
        <f t="shared" si="56"/>
        <v>162</v>
      </c>
      <c r="AA149" s="359">
        <f t="shared" si="56"/>
        <v>175</v>
      </c>
      <c r="AB149" s="359">
        <f t="shared" si="56"/>
        <v>188</v>
      </c>
      <c r="AC149" s="359">
        <f t="shared" si="56"/>
        <v>201</v>
      </c>
      <c r="AD149" s="359">
        <f t="shared" si="56"/>
        <v>236</v>
      </c>
      <c r="AE149" s="359">
        <f t="shared" si="56"/>
        <v>271</v>
      </c>
      <c r="AF149" s="359">
        <f t="shared" si="56"/>
        <v>306</v>
      </c>
      <c r="AG149" s="359">
        <f t="shared" si="56"/>
        <v>341</v>
      </c>
      <c r="AH149" s="359">
        <f t="shared" si="56"/>
        <v>376</v>
      </c>
      <c r="AI149" s="359">
        <f t="shared" si="56"/>
        <v>411</v>
      </c>
      <c r="AJ149" s="359">
        <f t="shared" si="56"/>
        <v>445</v>
      </c>
      <c r="AK149" s="359">
        <f t="shared" si="56"/>
        <v>480</v>
      </c>
      <c r="AL149" s="359">
        <f t="shared" si="56"/>
        <v>514</v>
      </c>
      <c r="AM149" s="359">
        <f t="shared" si="56"/>
        <v>549</v>
      </c>
      <c r="AN149" s="359">
        <f t="shared" si="56"/>
        <v>584</v>
      </c>
      <c r="AO149" s="359">
        <f t="shared" si="56"/>
        <v>619</v>
      </c>
      <c r="AP149" s="359">
        <f t="shared" si="56"/>
        <v>654</v>
      </c>
      <c r="AQ149" s="359">
        <f t="shared" si="56"/>
        <v>689</v>
      </c>
    </row>
    <row r="150" spans="1:43" s="144" customFormat="1" ht="13.35" customHeight="1">
      <c r="A150" s="124"/>
      <c r="B150" s="325"/>
      <c r="C150" s="326"/>
      <c r="D150" s="326"/>
      <c r="E150" s="326"/>
      <c r="F150" s="327"/>
      <c r="G150" s="327"/>
      <c r="H150" s="328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8"/>
      <c r="T150" s="329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</row>
    <row r="151" spans="1:43" s="144" customFormat="1" ht="13.35" customHeight="1">
      <c r="A151" s="124"/>
      <c r="B151" s="142" t="s">
        <v>178</v>
      </c>
      <c r="C151" s="326"/>
      <c r="D151" s="326"/>
      <c r="E151" s="326"/>
      <c r="F151" s="354">
        <f>SUM(F86:F143)</f>
        <v>2666341</v>
      </c>
      <c r="G151" s="354">
        <f>F154</f>
        <v>2666341</v>
      </c>
      <c r="H151" s="354">
        <f t="shared" ref="H151:AQ151" si="57">G154</f>
        <v>2666341</v>
      </c>
      <c r="I151" s="354">
        <f t="shared" si="57"/>
        <v>2666341</v>
      </c>
      <c r="J151" s="354">
        <f t="shared" si="57"/>
        <v>2666341</v>
      </c>
      <c r="K151" s="354">
        <f t="shared" si="57"/>
        <v>2666341</v>
      </c>
      <c r="L151" s="354">
        <f t="shared" si="57"/>
        <v>2966341</v>
      </c>
      <c r="M151" s="354">
        <f t="shared" si="57"/>
        <v>5466341</v>
      </c>
      <c r="N151" s="354">
        <f t="shared" si="57"/>
        <v>6816341</v>
      </c>
      <c r="O151" s="354">
        <f t="shared" si="57"/>
        <v>10816341</v>
      </c>
      <c r="P151" s="354">
        <f t="shared" si="57"/>
        <v>12616341</v>
      </c>
      <c r="Q151" s="354">
        <f t="shared" si="57"/>
        <v>13666341</v>
      </c>
      <c r="R151" s="354">
        <f t="shared" si="57"/>
        <v>13966341</v>
      </c>
      <c r="S151" s="354">
        <f t="shared" si="57"/>
        <v>16566341</v>
      </c>
      <c r="T151" s="354">
        <f t="shared" si="57"/>
        <v>19166341</v>
      </c>
      <c r="U151" s="354">
        <f t="shared" si="57"/>
        <v>21766341</v>
      </c>
      <c r="V151" s="354">
        <f t="shared" si="57"/>
        <v>24366341</v>
      </c>
      <c r="W151" s="354">
        <f t="shared" si="57"/>
        <v>26966341</v>
      </c>
      <c r="X151" s="354">
        <f t="shared" si="57"/>
        <v>29566341</v>
      </c>
      <c r="Y151" s="354">
        <f t="shared" si="57"/>
        <v>32166341</v>
      </c>
      <c r="Z151" s="354">
        <f t="shared" si="57"/>
        <v>34766341</v>
      </c>
      <c r="AA151" s="354">
        <f t="shared" si="57"/>
        <v>37366341</v>
      </c>
      <c r="AB151" s="354">
        <f t="shared" si="57"/>
        <v>39966341</v>
      </c>
      <c r="AC151" s="354">
        <f t="shared" si="57"/>
        <v>42566341</v>
      </c>
      <c r="AD151" s="354">
        <f t="shared" si="57"/>
        <v>45166341</v>
      </c>
      <c r="AE151" s="354">
        <f t="shared" si="57"/>
        <v>55666341</v>
      </c>
      <c r="AF151" s="354">
        <f t="shared" si="57"/>
        <v>66166341</v>
      </c>
      <c r="AG151" s="354">
        <f t="shared" si="57"/>
        <v>76666341</v>
      </c>
      <c r="AH151" s="354">
        <f t="shared" si="57"/>
        <v>87166341</v>
      </c>
      <c r="AI151" s="354">
        <f t="shared" si="57"/>
        <v>97666341</v>
      </c>
      <c r="AJ151" s="354">
        <f t="shared" si="57"/>
        <v>108166341</v>
      </c>
      <c r="AK151" s="354">
        <f t="shared" si="57"/>
        <v>118580397</v>
      </c>
      <c r="AL151" s="354">
        <f t="shared" si="57"/>
        <v>129080397</v>
      </c>
      <c r="AM151" s="354">
        <f t="shared" si="57"/>
        <v>139450041</v>
      </c>
      <c r="AN151" s="354">
        <f t="shared" si="57"/>
        <v>149950041</v>
      </c>
      <c r="AO151" s="354">
        <f t="shared" si="57"/>
        <v>160450041</v>
      </c>
      <c r="AP151" s="354">
        <f t="shared" si="57"/>
        <v>170950041</v>
      </c>
      <c r="AQ151" s="354">
        <f t="shared" si="57"/>
        <v>181450041</v>
      </c>
    </row>
    <row r="152" spans="1:43" s="144" customFormat="1" ht="13.35" customHeight="1">
      <c r="A152" s="124"/>
      <c r="B152" s="360" t="s">
        <v>175</v>
      </c>
      <c r="C152" s="326"/>
      <c r="D152" s="326"/>
      <c r="E152" s="326"/>
      <c r="F152" s="150">
        <f t="shared" ref="F152:AQ152" si="58">F80</f>
        <v>0</v>
      </c>
      <c r="G152" s="150">
        <f t="shared" si="58"/>
        <v>0</v>
      </c>
      <c r="H152" s="150">
        <f t="shared" si="58"/>
        <v>0</v>
      </c>
      <c r="I152" s="150">
        <f t="shared" si="58"/>
        <v>0</v>
      </c>
      <c r="J152" s="150">
        <f t="shared" si="58"/>
        <v>0</v>
      </c>
      <c r="K152" s="150">
        <f t="shared" si="58"/>
        <v>300000</v>
      </c>
      <c r="L152" s="150">
        <f t="shared" si="58"/>
        <v>2500000</v>
      </c>
      <c r="M152" s="150">
        <f t="shared" si="58"/>
        <v>1350000</v>
      </c>
      <c r="N152" s="150">
        <f t="shared" si="58"/>
        <v>4000000</v>
      </c>
      <c r="O152" s="150">
        <f t="shared" si="58"/>
        <v>1800000</v>
      </c>
      <c r="P152" s="150">
        <f t="shared" si="58"/>
        <v>1050000</v>
      </c>
      <c r="Q152" s="150">
        <f t="shared" si="58"/>
        <v>300000</v>
      </c>
      <c r="R152" s="150">
        <f t="shared" si="58"/>
        <v>2600000</v>
      </c>
      <c r="S152" s="150">
        <f t="shared" si="58"/>
        <v>2600000</v>
      </c>
      <c r="T152" s="150">
        <f t="shared" si="58"/>
        <v>2600000</v>
      </c>
      <c r="U152" s="150">
        <f t="shared" si="58"/>
        <v>2600000</v>
      </c>
      <c r="V152" s="150">
        <f t="shared" si="58"/>
        <v>2600000</v>
      </c>
      <c r="W152" s="150">
        <f t="shared" si="58"/>
        <v>2600000</v>
      </c>
      <c r="X152" s="150">
        <f t="shared" si="58"/>
        <v>2600000</v>
      </c>
      <c r="Y152" s="150">
        <f t="shared" si="58"/>
        <v>2600000</v>
      </c>
      <c r="Z152" s="150">
        <f t="shared" si="58"/>
        <v>2600000</v>
      </c>
      <c r="AA152" s="150">
        <f t="shared" si="58"/>
        <v>2600000</v>
      </c>
      <c r="AB152" s="150">
        <f t="shared" si="58"/>
        <v>2600000</v>
      </c>
      <c r="AC152" s="150">
        <f t="shared" si="58"/>
        <v>2600000</v>
      </c>
      <c r="AD152" s="150">
        <f t="shared" si="58"/>
        <v>10500000</v>
      </c>
      <c r="AE152" s="150">
        <f t="shared" si="58"/>
        <v>10500000</v>
      </c>
      <c r="AF152" s="150">
        <f t="shared" si="58"/>
        <v>10500000</v>
      </c>
      <c r="AG152" s="150">
        <f t="shared" si="58"/>
        <v>10500000</v>
      </c>
      <c r="AH152" s="150">
        <f t="shared" si="58"/>
        <v>10500000</v>
      </c>
      <c r="AI152" s="150">
        <f t="shared" si="58"/>
        <v>10500000</v>
      </c>
      <c r="AJ152" s="150">
        <f t="shared" si="58"/>
        <v>10500000</v>
      </c>
      <c r="AK152" s="150">
        <f t="shared" si="58"/>
        <v>10500000</v>
      </c>
      <c r="AL152" s="150">
        <f t="shared" si="58"/>
        <v>10500000</v>
      </c>
      <c r="AM152" s="150">
        <f t="shared" si="58"/>
        <v>10500000</v>
      </c>
      <c r="AN152" s="150">
        <f t="shared" si="58"/>
        <v>10500000</v>
      </c>
      <c r="AO152" s="150">
        <f t="shared" si="58"/>
        <v>10500000</v>
      </c>
      <c r="AP152" s="150">
        <f t="shared" si="58"/>
        <v>10500000</v>
      </c>
      <c r="AQ152" s="150">
        <f t="shared" si="58"/>
        <v>10500000</v>
      </c>
    </row>
    <row r="153" spans="1:43" s="144" customFormat="1" ht="13.35" customHeight="1">
      <c r="A153" s="124"/>
      <c r="B153" s="360" t="s">
        <v>176</v>
      </c>
      <c r="C153" s="326"/>
      <c r="D153" s="326"/>
      <c r="E153" s="326"/>
      <c r="F153" s="150"/>
      <c r="G153" s="150">
        <f t="shared" ref="G153:AQ153" si="59">SUM(G87:G142)-SUM(F87:F142)-G152</f>
        <v>0</v>
      </c>
      <c r="H153" s="150">
        <f t="shared" si="59"/>
        <v>0</v>
      </c>
      <c r="I153" s="150">
        <f t="shared" si="59"/>
        <v>0</v>
      </c>
      <c r="J153" s="150">
        <f t="shared" si="59"/>
        <v>0</v>
      </c>
      <c r="K153" s="150">
        <f t="shared" si="59"/>
        <v>0</v>
      </c>
      <c r="L153" s="150">
        <f t="shared" si="59"/>
        <v>0</v>
      </c>
      <c r="M153" s="150">
        <f t="shared" si="59"/>
        <v>0</v>
      </c>
      <c r="N153" s="150">
        <f t="shared" si="59"/>
        <v>0</v>
      </c>
      <c r="O153" s="150">
        <f t="shared" si="59"/>
        <v>0</v>
      </c>
      <c r="P153" s="150">
        <f t="shared" si="59"/>
        <v>0</v>
      </c>
      <c r="Q153" s="150">
        <f t="shared" si="59"/>
        <v>0</v>
      </c>
      <c r="R153" s="150">
        <f t="shared" si="59"/>
        <v>0</v>
      </c>
      <c r="S153" s="150">
        <f t="shared" si="59"/>
        <v>0</v>
      </c>
      <c r="T153" s="150">
        <f t="shared" si="59"/>
        <v>0</v>
      </c>
      <c r="U153" s="150">
        <f t="shared" si="59"/>
        <v>0</v>
      </c>
      <c r="V153" s="150">
        <f t="shared" si="59"/>
        <v>0</v>
      </c>
      <c r="W153" s="150">
        <f t="shared" si="59"/>
        <v>0</v>
      </c>
      <c r="X153" s="150">
        <f t="shared" si="59"/>
        <v>0</v>
      </c>
      <c r="Y153" s="150">
        <f t="shared" si="59"/>
        <v>0</v>
      </c>
      <c r="Z153" s="150">
        <f t="shared" si="59"/>
        <v>0</v>
      </c>
      <c r="AA153" s="150">
        <f t="shared" si="59"/>
        <v>0</v>
      </c>
      <c r="AB153" s="150">
        <f t="shared" si="59"/>
        <v>0</v>
      </c>
      <c r="AC153" s="150">
        <f t="shared" si="59"/>
        <v>0</v>
      </c>
      <c r="AD153" s="150">
        <f t="shared" si="59"/>
        <v>0</v>
      </c>
      <c r="AE153" s="150">
        <f t="shared" si="59"/>
        <v>0</v>
      </c>
      <c r="AF153" s="150">
        <f t="shared" si="59"/>
        <v>0</v>
      </c>
      <c r="AG153" s="150">
        <f t="shared" si="59"/>
        <v>0</v>
      </c>
      <c r="AH153" s="150">
        <f t="shared" si="59"/>
        <v>0</v>
      </c>
      <c r="AI153" s="150">
        <f t="shared" si="59"/>
        <v>0</v>
      </c>
      <c r="AJ153" s="150">
        <f t="shared" si="59"/>
        <v>-85944</v>
      </c>
      <c r="AK153" s="150">
        <f t="shared" si="59"/>
        <v>0</v>
      </c>
      <c r="AL153" s="150">
        <f t="shared" si="59"/>
        <v>-130356</v>
      </c>
      <c r="AM153" s="150">
        <f t="shared" si="59"/>
        <v>0</v>
      </c>
      <c r="AN153" s="150">
        <f t="shared" si="59"/>
        <v>0</v>
      </c>
      <c r="AO153" s="150">
        <f t="shared" si="59"/>
        <v>0</v>
      </c>
      <c r="AP153" s="150">
        <f t="shared" si="59"/>
        <v>0</v>
      </c>
      <c r="AQ153" s="150">
        <f t="shared" si="59"/>
        <v>0</v>
      </c>
    </row>
    <row r="154" spans="1:43" ht="13.35" customHeight="1">
      <c r="B154" s="357" t="s">
        <v>179</v>
      </c>
      <c r="C154" s="358"/>
      <c r="D154" s="358"/>
      <c r="E154" s="358"/>
      <c r="F154" s="361">
        <f>SUM(F151:F153)</f>
        <v>2666341</v>
      </c>
      <c r="G154" s="361">
        <f t="shared" ref="G154:AQ154" si="60">SUM(G151:G153)</f>
        <v>2666341</v>
      </c>
      <c r="H154" s="361">
        <f t="shared" si="60"/>
        <v>2666341</v>
      </c>
      <c r="I154" s="361">
        <f t="shared" si="60"/>
        <v>2666341</v>
      </c>
      <c r="J154" s="361">
        <f t="shared" si="60"/>
        <v>2666341</v>
      </c>
      <c r="K154" s="361">
        <f t="shared" si="60"/>
        <v>2966341</v>
      </c>
      <c r="L154" s="361">
        <f t="shared" si="60"/>
        <v>5466341</v>
      </c>
      <c r="M154" s="361">
        <f t="shared" si="60"/>
        <v>6816341</v>
      </c>
      <c r="N154" s="361">
        <f t="shared" si="60"/>
        <v>10816341</v>
      </c>
      <c r="O154" s="361">
        <f t="shared" si="60"/>
        <v>12616341</v>
      </c>
      <c r="P154" s="361">
        <f t="shared" si="60"/>
        <v>13666341</v>
      </c>
      <c r="Q154" s="361">
        <f t="shared" si="60"/>
        <v>13966341</v>
      </c>
      <c r="R154" s="361">
        <f t="shared" si="60"/>
        <v>16566341</v>
      </c>
      <c r="S154" s="361">
        <f t="shared" si="60"/>
        <v>19166341</v>
      </c>
      <c r="T154" s="361">
        <f t="shared" si="60"/>
        <v>21766341</v>
      </c>
      <c r="U154" s="361">
        <f t="shared" si="60"/>
        <v>24366341</v>
      </c>
      <c r="V154" s="361">
        <f t="shared" si="60"/>
        <v>26966341</v>
      </c>
      <c r="W154" s="361">
        <f t="shared" si="60"/>
        <v>29566341</v>
      </c>
      <c r="X154" s="361">
        <f t="shared" si="60"/>
        <v>32166341</v>
      </c>
      <c r="Y154" s="361">
        <f t="shared" si="60"/>
        <v>34766341</v>
      </c>
      <c r="Z154" s="361">
        <f t="shared" si="60"/>
        <v>37366341</v>
      </c>
      <c r="AA154" s="361">
        <f t="shared" si="60"/>
        <v>39966341</v>
      </c>
      <c r="AB154" s="361">
        <f t="shared" si="60"/>
        <v>42566341</v>
      </c>
      <c r="AC154" s="361">
        <f t="shared" si="60"/>
        <v>45166341</v>
      </c>
      <c r="AD154" s="361">
        <f t="shared" si="60"/>
        <v>55666341</v>
      </c>
      <c r="AE154" s="361">
        <f t="shared" si="60"/>
        <v>66166341</v>
      </c>
      <c r="AF154" s="361">
        <f t="shared" si="60"/>
        <v>76666341</v>
      </c>
      <c r="AG154" s="361">
        <f t="shared" si="60"/>
        <v>87166341</v>
      </c>
      <c r="AH154" s="361">
        <f t="shared" si="60"/>
        <v>97666341</v>
      </c>
      <c r="AI154" s="361">
        <f t="shared" si="60"/>
        <v>108166341</v>
      </c>
      <c r="AJ154" s="361">
        <f t="shared" si="60"/>
        <v>118580397</v>
      </c>
      <c r="AK154" s="361">
        <f t="shared" si="60"/>
        <v>129080397</v>
      </c>
      <c r="AL154" s="361">
        <f t="shared" si="60"/>
        <v>139450041</v>
      </c>
      <c r="AM154" s="361">
        <f t="shared" si="60"/>
        <v>149950041</v>
      </c>
      <c r="AN154" s="361">
        <f t="shared" si="60"/>
        <v>160450041</v>
      </c>
      <c r="AO154" s="361">
        <f t="shared" si="60"/>
        <v>170950041</v>
      </c>
      <c r="AP154" s="361">
        <f t="shared" si="60"/>
        <v>181450041</v>
      </c>
      <c r="AQ154" s="361">
        <f t="shared" si="60"/>
        <v>191950041</v>
      </c>
    </row>
    <row r="155" spans="1:43" s="144" customFormat="1" ht="13.35" customHeight="1">
      <c r="A155" s="124"/>
      <c r="B155"/>
      <c r="C155"/>
      <c r="D155"/>
      <c r="E155"/>
      <c r="G155" s="149"/>
      <c r="M155" s="154"/>
      <c r="T155" s="149"/>
      <c r="X155" s="149"/>
      <c r="AF155" s="149"/>
    </row>
    <row r="156" spans="1:43" ht="13.35" customHeight="1">
      <c r="B156"/>
      <c r="C156" s="324" t="s">
        <v>161</v>
      </c>
      <c r="D156"/>
      <c r="E156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1:43" s="4" customFormat="1" ht="13.35" customHeight="1">
      <c r="A157" s="155" t="s">
        <v>47</v>
      </c>
      <c r="B157" s="151" t="s">
        <v>243</v>
      </c>
      <c r="C157" s="655">
        <f>'Model Drivers'!$C$23</f>
        <v>0.01</v>
      </c>
      <c r="D157" s="152"/>
      <c r="E157" s="152"/>
      <c r="F157" s="198">
        <f t="shared" ref="F157:AQ157" si="61">$C$157/12*F154</f>
        <v>2221.9508333333333</v>
      </c>
      <c r="G157" s="199">
        <f t="shared" si="61"/>
        <v>2221.9508333333333</v>
      </c>
      <c r="H157" s="198">
        <f t="shared" si="61"/>
        <v>2221.9508333333333</v>
      </c>
      <c r="I157" s="198">
        <f t="shared" si="61"/>
        <v>2221.9508333333333</v>
      </c>
      <c r="J157" s="198">
        <f t="shared" si="61"/>
        <v>2221.9508333333333</v>
      </c>
      <c r="K157" s="198">
        <f t="shared" si="61"/>
        <v>2471.9508333333333</v>
      </c>
      <c r="L157" s="198">
        <f t="shared" si="61"/>
        <v>4555.2841666666673</v>
      </c>
      <c r="M157" s="198">
        <f t="shared" si="61"/>
        <v>5680.2841666666673</v>
      </c>
      <c r="N157" s="198">
        <f t="shared" si="61"/>
        <v>9013.6175000000003</v>
      </c>
      <c r="O157" s="198">
        <f t="shared" si="61"/>
        <v>10513.6175</v>
      </c>
      <c r="P157" s="198">
        <f t="shared" si="61"/>
        <v>11388.6175</v>
      </c>
      <c r="Q157" s="198">
        <f t="shared" si="61"/>
        <v>11638.6175</v>
      </c>
      <c r="R157" s="198">
        <f t="shared" si="61"/>
        <v>13805.284166666668</v>
      </c>
      <c r="S157" s="198">
        <f t="shared" si="61"/>
        <v>15971.950833333334</v>
      </c>
      <c r="T157" s="197">
        <f t="shared" si="61"/>
        <v>18138.6175</v>
      </c>
      <c r="U157" s="198">
        <f t="shared" si="61"/>
        <v>20305.284166666668</v>
      </c>
      <c r="V157" s="198">
        <f t="shared" si="61"/>
        <v>22471.950833333336</v>
      </c>
      <c r="W157" s="198">
        <f t="shared" si="61"/>
        <v>24638.6175</v>
      </c>
      <c r="X157" s="198">
        <f t="shared" si="61"/>
        <v>26805.284166666668</v>
      </c>
      <c r="Y157" s="198">
        <f t="shared" si="61"/>
        <v>28971.950833333336</v>
      </c>
      <c r="Z157" s="198">
        <f t="shared" si="61"/>
        <v>31138.6175</v>
      </c>
      <c r="AA157" s="198">
        <f t="shared" si="61"/>
        <v>33305.284166666672</v>
      </c>
      <c r="AB157" s="198">
        <f t="shared" si="61"/>
        <v>35471.950833333336</v>
      </c>
      <c r="AC157" s="198">
        <f t="shared" si="61"/>
        <v>37638.6175</v>
      </c>
      <c r="AD157" s="198">
        <f t="shared" si="61"/>
        <v>46388.6175</v>
      </c>
      <c r="AE157" s="198">
        <f t="shared" si="61"/>
        <v>55138.6175</v>
      </c>
      <c r="AF157" s="197">
        <f t="shared" si="61"/>
        <v>63888.617500000008</v>
      </c>
      <c r="AG157" s="198">
        <f t="shared" si="61"/>
        <v>72638.617500000008</v>
      </c>
      <c r="AH157" s="198">
        <f t="shared" si="61"/>
        <v>81388.617500000008</v>
      </c>
      <c r="AI157" s="198">
        <f t="shared" si="61"/>
        <v>90138.617500000008</v>
      </c>
      <c r="AJ157" s="198">
        <f t="shared" si="61"/>
        <v>98816.997500000012</v>
      </c>
      <c r="AK157" s="198">
        <f t="shared" si="61"/>
        <v>107566.99750000001</v>
      </c>
      <c r="AL157" s="198">
        <f t="shared" si="61"/>
        <v>116208.36750000001</v>
      </c>
      <c r="AM157" s="198">
        <f t="shared" si="61"/>
        <v>124958.36750000001</v>
      </c>
      <c r="AN157" s="198">
        <f t="shared" si="61"/>
        <v>133708.36750000002</v>
      </c>
      <c r="AO157" s="198">
        <f t="shared" si="61"/>
        <v>142458.36750000002</v>
      </c>
      <c r="AP157" s="198">
        <f t="shared" si="61"/>
        <v>151208.36750000002</v>
      </c>
      <c r="AQ157" s="198">
        <f t="shared" si="61"/>
        <v>159958.36750000002</v>
      </c>
    </row>
    <row r="158" spans="1:43" ht="13.35" customHeight="1">
      <c r="G158" s="14"/>
      <c r="T158" s="156"/>
      <c r="AF158" s="156"/>
    </row>
    <row r="159" spans="1:43" ht="13.35" customHeight="1">
      <c r="A159" s="124" t="s">
        <v>47</v>
      </c>
      <c r="B159" s="133" t="str">
        <f>"New Loan Origination Fee Revenue ("&amp;TEXT(C160,"0.00%")&amp;")"</f>
        <v>New Loan Origination Fee Revenue (3.00%)</v>
      </c>
      <c r="C159" s="157"/>
      <c r="D159" s="157"/>
      <c r="E159" s="157"/>
      <c r="F159" s="135"/>
      <c r="G159" s="136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7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7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</row>
    <row r="160" spans="1:43" ht="13.35" customHeight="1">
      <c r="C160" s="655">
        <f>'Model Drivers'!$C$24</f>
        <v>0.03</v>
      </c>
      <c r="D160" s="141"/>
      <c r="E160" s="141"/>
      <c r="F160" s="138"/>
      <c r="G160" s="139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40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40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</row>
    <row r="161" spans="1:44" ht="13.35" customHeight="1">
      <c r="A161" s="124" t="s">
        <v>47</v>
      </c>
      <c r="B161" s="310" t="str">
        <f t="shared" ref="B161:E180" si="62">B86</f>
        <v>Current Farms</v>
      </c>
      <c r="C161" s="306" t="str">
        <f t="shared" si="62"/>
        <v>Loan Size</v>
      </c>
      <c r="D161" s="306" t="str">
        <f t="shared" si="62"/>
        <v>Close Date</v>
      </c>
      <c r="E161" s="306" t="str">
        <f t="shared" si="62"/>
        <v>Term (Years)</v>
      </c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306"/>
      <c r="AQ161" s="330"/>
      <c r="AR161" s="306" t="s">
        <v>47</v>
      </c>
    </row>
    <row r="162" spans="1:44" ht="13.35" customHeight="1">
      <c r="B162" s="142" t="str">
        <f t="shared" si="62"/>
        <v>ACRE Detroit</v>
      </c>
      <c r="C162" s="145">
        <f t="shared" si="62"/>
        <v>85944</v>
      </c>
      <c r="D162" s="322">
        <f t="shared" si="62"/>
        <v>42906</v>
      </c>
      <c r="E162" s="323">
        <f t="shared" si="62"/>
        <v>5</v>
      </c>
      <c r="F162" s="316">
        <f t="shared" ref="F162:AQ162" si="63">$C$160*F19</f>
        <v>0</v>
      </c>
      <c r="G162" s="316">
        <f t="shared" si="63"/>
        <v>0</v>
      </c>
      <c r="H162" s="316">
        <f t="shared" si="63"/>
        <v>0</v>
      </c>
      <c r="I162" s="316">
        <f t="shared" si="63"/>
        <v>0</v>
      </c>
      <c r="J162" s="316">
        <f t="shared" si="63"/>
        <v>0</v>
      </c>
      <c r="K162" s="316">
        <f t="shared" si="63"/>
        <v>0</v>
      </c>
      <c r="L162" s="316">
        <f t="shared" si="63"/>
        <v>0</v>
      </c>
      <c r="M162" s="316">
        <f t="shared" si="63"/>
        <v>0</v>
      </c>
      <c r="N162" s="316">
        <f t="shared" si="63"/>
        <v>0</v>
      </c>
      <c r="O162" s="316">
        <f t="shared" si="63"/>
        <v>0</v>
      </c>
      <c r="P162" s="316">
        <f t="shared" si="63"/>
        <v>0</v>
      </c>
      <c r="Q162" s="316">
        <f t="shared" si="63"/>
        <v>0</v>
      </c>
      <c r="R162" s="316">
        <f t="shared" si="63"/>
        <v>0</v>
      </c>
      <c r="S162" s="316">
        <f t="shared" si="63"/>
        <v>0</v>
      </c>
      <c r="T162" s="316">
        <f t="shared" si="63"/>
        <v>0</v>
      </c>
      <c r="U162" s="316">
        <f t="shared" si="63"/>
        <v>0</v>
      </c>
      <c r="V162" s="316">
        <f t="shared" si="63"/>
        <v>0</v>
      </c>
      <c r="W162" s="316">
        <f t="shared" si="63"/>
        <v>0</v>
      </c>
      <c r="X162" s="316">
        <f t="shared" si="63"/>
        <v>0</v>
      </c>
      <c r="Y162" s="316">
        <f t="shared" si="63"/>
        <v>0</v>
      </c>
      <c r="Z162" s="316">
        <f t="shared" si="63"/>
        <v>0</v>
      </c>
      <c r="AA162" s="316">
        <f t="shared" si="63"/>
        <v>0</v>
      </c>
      <c r="AB162" s="316">
        <f t="shared" si="63"/>
        <v>0</v>
      </c>
      <c r="AC162" s="316">
        <f t="shared" si="63"/>
        <v>0</v>
      </c>
      <c r="AD162" s="316">
        <f t="shared" si="63"/>
        <v>0</v>
      </c>
      <c r="AE162" s="316">
        <f t="shared" si="63"/>
        <v>0</v>
      </c>
      <c r="AF162" s="316">
        <f t="shared" si="63"/>
        <v>0</v>
      </c>
      <c r="AG162" s="316">
        <f t="shared" si="63"/>
        <v>0</v>
      </c>
      <c r="AH162" s="316">
        <f t="shared" si="63"/>
        <v>0</v>
      </c>
      <c r="AI162" s="316">
        <f t="shared" si="63"/>
        <v>0</v>
      </c>
      <c r="AJ162" s="316">
        <f t="shared" si="63"/>
        <v>0</v>
      </c>
      <c r="AK162" s="316">
        <f t="shared" si="63"/>
        <v>0</v>
      </c>
      <c r="AL162" s="316">
        <f t="shared" si="63"/>
        <v>0</v>
      </c>
      <c r="AM162" s="316">
        <f t="shared" si="63"/>
        <v>0</v>
      </c>
      <c r="AN162" s="316">
        <f t="shared" si="63"/>
        <v>0</v>
      </c>
      <c r="AO162" s="316">
        <f t="shared" si="63"/>
        <v>0</v>
      </c>
      <c r="AP162" s="316">
        <f t="shared" si="63"/>
        <v>0</v>
      </c>
      <c r="AQ162" s="316">
        <f t="shared" si="63"/>
        <v>0</v>
      </c>
    </row>
    <row r="163" spans="1:44" ht="13.35" customHeight="1">
      <c r="B163" s="142" t="str">
        <f t="shared" si="62"/>
        <v>Fisheye Farms</v>
      </c>
      <c r="C163" s="145">
        <f t="shared" si="62"/>
        <v>130356</v>
      </c>
      <c r="D163" s="322">
        <f t="shared" si="62"/>
        <v>42970</v>
      </c>
      <c r="E163" s="323">
        <f t="shared" si="62"/>
        <v>5</v>
      </c>
      <c r="F163" s="316">
        <f t="shared" ref="F163:AQ163" si="64">$C$160*F20</f>
        <v>0</v>
      </c>
      <c r="G163" s="316">
        <f t="shared" si="64"/>
        <v>0</v>
      </c>
      <c r="H163" s="316">
        <f t="shared" si="64"/>
        <v>0</v>
      </c>
      <c r="I163" s="316">
        <f t="shared" si="64"/>
        <v>0</v>
      </c>
      <c r="J163" s="316">
        <f t="shared" si="64"/>
        <v>0</v>
      </c>
      <c r="K163" s="316">
        <f t="shared" si="64"/>
        <v>0</v>
      </c>
      <c r="L163" s="316">
        <f t="shared" si="64"/>
        <v>0</v>
      </c>
      <c r="M163" s="316">
        <f t="shared" si="64"/>
        <v>0</v>
      </c>
      <c r="N163" s="316">
        <f t="shared" si="64"/>
        <v>0</v>
      </c>
      <c r="O163" s="316">
        <f t="shared" si="64"/>
        <v>0</v>
      </c>
      <c r="P163" s="316">
        <f t="shared" si="64"/>
        <v>0</v>
      </c>
      <c r="Q163" s="316">
        <f t="shared" si="64"/>
        <v>0</v>
      </c>
      <c r="R163" s="316">
        <f t="shared" si="64"/>
        <v>0</v>
      </c>
      <c r="S163" s="316">
        <f t="shared" si="64"/>
        <v>0</v>
      </c>
      <c r="T163" s="316">
        <f t="shared" si="64"/>
        <v>0</v>
      </c>
      <c r="U163" s="316">
        <f t="shared" si="64"/>
        <v>0</v>
      </c>
      <c r="V163" s="316">
        <f t="shared" si="64"/>
        <v>0</v>
      </c>
      <c r="W163" s="316">
        <f t="shared" si="64"/>
        <v>0</v>
      </c>
      <c r="X163" s="316">
        <f t="shared" si="64"/>
        <v>0</v>
      </c>
      <c r="Y163" s="316">
        <f t="shared" si="64"/>
        <v>0</v>
      </c>
      <c r="Z163" s="316">
        <f t="shared" si="64"/>
        <v>0</v>
      </c>
      <c r="AA163" s="316">
        <f t="shared" si="64"/>
        <v>0</v>
      </c>
      <c r="AB163" s="316">
        <f t="shared" si="64"/>
        <v>0</v>
      </c>
      <c r="AC163" s="316">
        <f t="shared" si="64"/>
        <v>0</v>
      </c>
      <c r="AD163" s="316">
        <f t="shared" si="64"/>
        <v>0</v>
      </c>
      <c r="AE163" s="316">
        <f t="shared" si="64"/>
        <v>0</v>
      </c>
      <c r="AF163" s="316">
        <f t="shared" si="64"/>
        <v>0</v>
      </c>
      <c r="AG163" s="316">
        <f t="shared" si="64"/>
        <v>0</v>
      </c>
      <c r="AH163" s="316">
        <f t="shared" si="64"/>
        <v>0</v>
      </c>
      <c r="AI163" s="316">
        <f t="shared" si="64"/>
        <v>0</v>
      </c>
      <c r="AJ163" s="316">
        <f t="shared" si="64"/>
        <v>0</v>
      </c>
      <c r="AK163" s="316">
        <f t="shared" si="64"/>
        <v>0</v>
      </c>
      <c r="AL163" s="316">
        <f t="shared" si="64"/>
        <v>0</v>
      </c>
      <c r="AM163" s="316">
        <f t="shared" si="64"/>
        <v>0</v>
      </c>
      <c r="AN163" s="316">
        <f t="shared" si="64"/>
        <v>0</v>
      </c>
      <c r="AO163" s="316">
        <f t="shared" si="64"/>
        <v>0</v>
      </c>
      <c r="AP163" s="316">
        <f t="shared" si="64"/>
        <v>0</v>
      </c>
      <c r="AQ163" s="316">
        <f t="shared" si="64"/>
        <v>0</v>
      </c>
    </row>
    <row r="164" spans="1:44" ht="13.35" customHeight="1">
      <c r="B164" s="142" t="str">
        <f t="shared" si="62"/>
        <v>Beiler’s Heritage Acres</v>
      </c>
      <c r="C164" s="145">
        <f t="shared" si="62"/>
        <v>575701</v>
      </c>
      <c r="D164" s="322">
        <f t="shared" si="62"/>
        <v>43266</v>
      </c>
      <c r="E164" s="323">
        <f t="shared" si="62"/>
        <v>5</v>
      </c>
      <c r="F164" s="316">
        <f t="shared" ref="F164:AQ164" si="65">$C$160*F21</f>
        <v>0</v>
      </c>
      <c r="G164" s="316">
        <f t="shared" si="65"/>
        <v>0</v>
      </c>
      <c r="H164" s="316">
        <f t="shared" si="65"/>
        <v>0</v>
      </c>
      <c r="I164" s="316">
        <f t="shared" si="65"/>
        <v>0</v>
      </c>
      <c r="J164" s="316">
        <f t="shared" si="65"/>
        <v>0</v>
      </c>
      <c r="K164" s="316">
        <f t="shared" si="65"/>
        <v>0</v>
      </c>
      <c r="L164" s="316">
        <f t="shared" si="65"/>
        <v>0</v>
      </c>
      <c r="M164" s="316">
        <f t="shared" si="65"/>
        <v>0</v>
      </c>
      <c r="N164" s="316">
        <f t="shared" si="65"/>
        <v>0</v>
      </c>
      <c r="O164" s="316">
        <f t="shared" si="65"/>
        <v>0</v>
      </c>
      <c r="P164" s="316">
        <f t="shared" si="65"/>
        <v>0</v>
      </c>
      <c r="Q164" s="316">
        <f t="shared" si="65"/>
        <v>0</v>
      </c>
      <c r="R164" s="316">
        <f t="shared" si="65"/>
        <v>0</v>
      </c>
      <c r="S164" s="316">
        <f t="shared" si="65"/>
        <v>0</v>
      </c>
      <c r="T164" s="316">
        <f t="shared" si="65"/>
        <v>0</v>
      </c>
      <c r="U164" s="316">
        <f t="shared" si="65"/>
        <v>0</v>
      </c>
      <c r="V164" s="316">
        <f t="shared" si="65"/>
        <v>0</v>
      </c>
      <c r="W164" s="316">
        <f t="shared" si="65"/>
        <v>0</v>
      </c>
      <c r="X164" s="316">
        <f t="shared" si="65"/>
        <v>0</v>
      </c>
      <c r="Y164" s="316">
        <f t="shared" si="65"/>
        <v>0</v>
      </c>
      <c r="Z164" s="316">
        <f t="shared" si="65"/>
        <v>0</v>
      </c>
      <c r="AA164" s="316">
        <f t="shared" si="65"/>
        <v>0</v>
      </c>
      <c r="AB164" s="316">
        <f t="shared" si="65"/>
        <v>0</v>
      </c>
      <c r="AC164" s="316">
        <f t="shared" si="65"/>
        <v>0</v>
      </c>
      <c r="AD164" s="316">
        <f t="shared" si="65"/>
        <v>0</v>
      </c>
      <c r="AE164" s="316">
        <f t="shared" si="65"/>
        <v>0</v>
      </c>
      <c r="AF164" s="316">
        <f t="shared" si="65"/>
        <v>0</v>
      </c>
      <c r="AG164" s="316">
        <f t="shared" si="65"/>
        <v>0</v>
      </c>
      <c r="AH164" s="316">
        <f t="shared" si="65"/>
        <v>0</v>
      </c>
      <c r="AI164" s="316">
        <f t="shared" si="65"/>
        <v>0</v>
      </c>
      <c r="AJ164" s="316">
        <f t="shared" si="65"/>
        <v>0</v>
      </c>
      <c r="AK164" s="316">
        <f t="shared" si="65"/>
        <v>0</v>
      </c>
      <c r="AL164" s="316">
        <f t="shared" si="65"/>
        <v>0</v>
      </c>
      <c r="AM164" s="316">
        <f t="shared" si="65"/>
        <v>0</v>
      </c>
      <c r="AN164" s="316">
        <f t="shared" si="65"/>
        <v>0</v>
      </c>
      <c r="AO164" s="316">
        <f t="shared" si="65"/>
        <v>0</v>
      </c>
      <c r="AP164" s="316">
        <f t="shared" si="65"/>
        <v>0</v>
      </c>
      <c r="AQ164" s="316">
        <f t="shared" si="65"/>
        <v>0</v>
      </c>
    </row>
    <row r="165" spans="1:44" ht="13.35" customHeight="1">
      <c r="B165" s="142" t="str">
        <f t="shared" si="62"/>
        <v>Eastfork Cultivars / Hope Mountain</v>
      </c>
      <c r="C165" s="145">
        <f t="shared" si="62"/>
        <v>642473</v>
      </c>
      <c r="D165" s="322">
        <f t="shared" si="62"/>
        <v>43293</v>
      </c>
      <c r="E165" s="323">
        <f t="shared" si="62"/>
        <v>5</v>
      </c>
      <c r="F165" s="316">
        <f t="shared" ref="F165:AQ165" si="66">$C$160*F22</f>
        <v>0</v>
      </c>
      <c r="G165" s="316">
        <f t="shared" si="66"/>
        <v>0</v>
      </c>
      <c r="H165" s="316">
        <f t="shared" si="66"/>
        <v>0</v>
      </c>
      <c r="I165" s="316">
        <f t="shared" si="66"/>
        <v>0</v>
      </c>
      <c r="J165" s="316">
        <f t="shared" si="66"/>
        <v>0</v>
      </c>
      <c r="K165" s="316">
        <f t="shared" si="66"/>
        <v>0</v>
      </c>
      <c r="L165" s="316">
        <f t="shared" si="66"/>
        <v>0</v>
      </c>
      <c r="M165" s="316">
        <f t="shared" si="66"/>
        <v>0</v>
      </c>
      <c r="N165" s="316">
        <f t="shared" si="66"/>
        <v>0</v>
      </c>
      <c r="O165" s="316">
        <f t="shared" si="66"/>
        <v>0</v>
      </c>
      <c r="P165" s="316">
        <f t="shared" si="66"/>
        <v>0</v>
      </c>
      <c r="Q165" s="316">
        <f t="shared" si="66"/>
        <v>0</v>
      </c>
      <c r="R165" s="316">
        <f t="shared" si="66"/>
        <v>0</v>
      </c>
      <c r="S165" s="316">
        <f t="shared" si="66"/>
        <v>0</v>
      </c>
      <c r="T165" s="316">
        <f t="shared" si="66"/>
        <v>0</v>
      </c>
      <c r="U165" s="316">
        <f t="shared" si="66"/>
        <v>0</v>
      </c>
      <c r="V165" s="316">
        <f t="shared" si="66"/>
        <v>0</v>
      </c>
      <c r="W165" s="316">
        <f t="shared" si="66"/>
        <v>0</v>
      </c>
      <c r="X165" s="316">
        <f t="shared" si="66"/>
        <v>0</v>
      </c>
      <c r="Y165" s="316">
        <f t="shared" si="66"/>
        <v>0</v>
      </c>
      <c r="Z165" s="316">
        <f t="shared" si="66"/>
        <v>0</v>
      </c>
      <c r="AA165" s="316">
        <f t="shared" si="66"/>
        <v>0</v>
      </c>
      <c r="AB165" s="316">
        <f t="shared" si="66"/>
        <v>0</v>
      </c>
      <c r="AC165" s="316">
        <f t="shared" si="66"/>
        <v>0</v>
      </c>
      <c r="AD165" s="316">
        <f t="shared" si="66"/>
        <v>0</v>
      </c>
      <c r="AE165" s="316">
        <f t="shared" si="66"/>
        <v>0</v>
      </c>
      <c r="AF165" s="316">
        <f t="shared" si="66"/>
        <v>0</v>
      </c>
      <c r="AG165" s="316">
        <f t="shared" si="66"/>
        <v>0</v>
      </c>
      <c r="AH165" s="316">
        <f t="shared" si="66"/>
        <v>0</v>
      </c>
      <c r="AI165" s="316">
        <f t="shared" si="66"/>
        <v>0</v>
      </c>
      <c r="AJ165" s="316">
        <f t="shared" si="66"/>
        <v>0</v>
      </c>
      <c r="AK165" s="316">
        <f t="shared" si="66"/>
        <v>0</v>
      </c>
      <c r="AL165" s="316">
        <f t="shared" si="66"/>
        <v>0</v>
      </c>
      <c r="AM165" s="316">
        <f t="shared" si="66"/>
        <v>0</v>
      </c>
      <c r="AN165" s="316">
        <f t="shared" si="66"/>
        <v>0</v>
      </c>
      <c r="AO165" s="316">
        <f t="shared" si="66"/>
        <v>0</v>
      </c>
      <c r="AP165" s="316">
        <f t="shared" si="66"/>
        <v>0</v>
      </c>
      <c r="AQ165" s="316">
        <f t="shared" si="66"/>
        <v>0</v>
      </c>
    </row>
    <row r="166" spans="1:44" ht="13.35" customHeight="1">
      <c r="B166" s="142" t="str">
        <f t="shared" si="62"/>
        <v>Domaine Julien Guillon</v>
      </c>
      <c r="C166" s="145">
        <f t="shared" si="62"/>
        <v>164165</v>
      </c>
      <c r="D166" s="322">
        <f t="shared" si="62"/>
        <v>43311</v>
      </c>
      <c r="E166" s="323">
        <f t="shared" si="62"/>
        <v>5</v>
      </c>
      <c r="F166" s="316">
        <f t="shared" ref="F166:AQ166" si="67">$C$160*F23</f>
        <v>0</v>
      </c>
      <c r="G166" s="316">
        <f t="shared" si="67"/>
        <v>0</v>
      </c>
      <c r="H166" s="316">
        <f t="shared" si="67"/>
        <v>0</v>
      </c>
      <c r="I166" s="316">
        <f t="shared" si="67"/>
        <v>0</v>
      </c>
      <c r="J166" s="316">
        <f t="shared" si="67"/>
        <v>0</v>
      </c>
      <c r="K166" s="316">
        <f t="shared" si="67"/>
        <v>0</v>
      </c>
      <c r="L166" s="316">
        <f t="shared" si="67"/>
        <v>0</v>
      </c>
      <c r="M166" s="316">
        <f t="shared" si="67"/>
        <v>0</v>
      </c>
      <c r="N166" s="316">
        <f t="shared" si="67"/>
        <v>0</v>
      </c>
      <c r="O166" s="316">
        <f t="shared" si="67"/>
        <v>0</v>
      </c>
      <c r="P166" s="316">
        <f t="shared" si="67"/>
        <v>0</v>
      </c>
      <c r="Q166" s="316">
        <f t="shared" si="67"/>
        <v>0</v>
      </c>
      <c r="R166" s="316">
        <f t="shared" si="67"/>
        <v>0</v>
      </c>
      <c r="S166" s="316">
        <f t="shared" si="67"/>
        <v>0</v>
      </c>
      <c r="T166" s="316">
        <f t="shared" si="67"/>
        <v>0</v>
      </c>
      <c r="U166" s="316">
        <f t="shared" si="67"/>
        <v>0</v>
      </c>
      <c r="V166" s="316">
        <f t="shared" si="67"/>
        <v>0</v>
      </c>
      <c r="W166" s="316">
        <f t="shared" si="67"/>
        <v>0</v>
      </c>
      <c r="X166" s="316">
        <f t="shared" si="67"/>
        <v>0</v>
      </c>
      <c r="Y166" s="316">
        <f t="shared" si="67"/>
        <v>0</v>
      </c>
      <c r="Z166" s="316">
        <f t="shared" si="67"/>
        <v>0</v>
      </c>
      <c r="AA166" s="316">
        <f t="shared" si="67"/>
        <v>0</v>
      </c>
      <c r="AB166" s="316">
        <f t="shared" si="67"/>
        <v>0</v>
      </c>
      <c r="AC166" s="316">
        <f t="shared" si="67"/>
        <v>0</v>
      </c>
      <c r="AD166" s="316">
        <f t="shared" si="67"/>
        <v>0</v>
      </c>
      <c r="AE166" s="316">
        <f t="shared" si="67"/>
        <v>0</v>
      </c>
      <c r="AF166" s="316">
        <f t="shared" si="67"/>
        <v>0</v>
      </c>
      <c r="AG166" s="316">
        <f t="shared" si="67"/>
        <v>0</v>
      </c>
      <c r="AH166" s="316">
        <f t="shared" si="67"/>
        <v>0</v>
      </c>
      <c r="AI166" s="316">
        <f t="shared" si="67"/>
        <v>0</v>
      </c>
      <c r="AJ166" s="316">
        <f t="shared" si="67"/>
        <v>0</v>
      </c>
      <c r="AK166" s="316">
        <f t="shared" si="67"/>
        <v>0</v>
      </c>
      <c r="AL166" s="316">
        <f t="shared" si="67"/>
        <v>0</v>
      </c>
      <c r="AM166" s="316">
        <f t="shared" si="67"/>
        <v>0</v>
      </c>
      <c r="AN166" s="316">
        <f t="shared" si="67"/>
        <v>0</v>
      </c>
      <c r="AO166" s="316">
        <f t="shared" si="67"/>
        <v>0</v>
      </c>
      <c r="AP166" s="316">
        <f t="shared" si="67"/>
        <v>0</v>
      </c>
      <c r="AQ166" s="316">
        <f t="shared" si="67"/>
        <v>0</v>
      </c>
    </row>
    <row r="167" spans="1:44" ht="13.35" customHeight="1">
      <c r="B167" s="142" t="str">
        <f t="shared" si="62"/>
        <v xml:space="preserve">Iverstine Family Farm </v>
      </c>
      <c r="C167" s="145">
        <f t="shared" si="62"/>
        <v>265536</v>
      </c>
      <c r="D167" s="322">
        <f t="shared" si="62"/>
        <v>43335</v>
      </c>
      <c r="E167" s="323">
        <f t="shared" si="62"/>
        <v>5</v>
      </c>
      <c r="F167" s="316">
        <f t="shared" ref="F167:AQ167" si="68">$C$160*F24</f>
        <v>0</v>
      </c>
      <c r="G167" s="316">
        <f t="shared" si="68"/>
        <v>0</v>
      </c>
      <c r="H167" s="316">
        <f t="shared" si="68"/>
        <v>0</v>
      </c>
      <c r="I167" s="316">
        <f t="shared" si="68"/>
        <v>0</v>
      </c>
      <c r="J167" s="316">
        <f t="shared" si="68"/>
        <v>0</v>
      </c>
      <c r="K167" s="316">
        <f t="shared" si="68"/>
        <v>0</v>
      </c>
      <c r="L167" s="316">
        <f t="shared" si="68"/>
        <v>0</v>
      </c>
      <c r="M167" s="316">
        <f t="shared" si="68"/>
        <v>0</v>
      </c>
      <c r="N167" s="316">
        <f t="shared" si="68"/>
        <v>0</v>
      </c>
      <c r="O167" s="316">
        <f t="shared" si="68"/>
        <v>0</v>
      </c>
      <c r="P167" s="316">
        <f t="shared" si="68"/>
        <v>0</v>
      </c>
      <c r="Q167" s="316">
        <f t="shared" si="68"/>
        <v>0</v>
      </c>
      <c r="R167" s="316">
        <f t="shared" si="68"/>
        <v>0</v>
      </c>
      <c r="S167" s="316">
        <f t="shared" si="68"/>
        <v>0</v>
      </c>
      <c r="T167" s="316">
        <f t="shared" si="68"/>
        <v>0</v>
      </c>
      <c r="U167" s="316">
        <f t="shared" si="68"/>
        <v>0</v>
      </c>
      <c r="V167" s="316">
        <f t="shared" si="68"/>
        <v>0</v>
      </c>
      <c r="W167" s="316">
        <f t="shared" si="68"/>
        <v>0</v>
      </c>
      <c r="X167" s="316">
        <f t="shared" si="68"/>
        <v>0</v>
      </c>
      <c r="Y167" s="316">
        <f t="shared" si="68"/>
        <v>0</v>
      </c>
      <c r="Z167" s="316">
        <f t="shared" si="68"/>
        <v>0</v>
      </c>
      <c r="AA167" s="316">
        <f t="shared" si="68"/>
        <v>0</v>
      </c>
      <c r="AB167" s="316">
        <f t="shared" si="68"/>
        <v>0</v>
      </c>
      <c r="AC167" s="316">
        <f t="shared" si="68"/>
        <v>0</v>
      </c>
      <c r="AD167" s="316">
        <f t="shared" si="68"/>
        <v>0</v>
      </c>
      <c r="AE167" s="316">
        <f t="shared" si="68"/>
        <v>0</v>
      </c>
      <c r="AF167" s="316">
        <f t="shared" si="68"/>
        <v>0</v>
      </c>
      <c r="AG167" s="316">
        <f t="shared" si="68"/>
        <v>0</v>
      </c>
      <c r="AH167" s="316">
        <f t="shared" si="68"/>
        <v>0</v>
      </c>
      <c r="AI167" s="316">
        <f t="shared" si="68"/>
        <v>0</v>
      </c>
      <c r="AJ167" s="316">
        <f t="shared" si="68"/>
        <v>0</v>
      </c>
      <c r="AK167" s="316">
        <f t="shared" si="68"/>
        <v>0</v>
      </c>
      <c r="AL167" s="316">
        <f t="shared" si="68"/>
        <v>0</v>
      </c>
      <c r="AM167" s="316">
        <f t="shared" si="68"/>
        <v>0</v>
      </c>
      <c r="AN167" s="316">
        <f t="shared" si="68"/>
        <v>0</v>
      </c>
      <c r="AO167" s="316">
        <f t="shared" si="68"/>
        <v>0</v>
      </c>
      <c r="AP167" s="316">
        <f t="shared" si="68"/>
        <v>0</v>
      </c>
      <c r="AQ167" s="316">
        <f t="shared" si="68"/>
        <v>0</v>
      </c>
    </row>
    <row r="168" spans="1:44" ht="13.35" customHeight="1">
      <c r="B168" s="142" t="str">
        <f t="shared" si="62"/>
        <v xml:space="preserve">Dusty Roads Farm </v>
      </c>
      <c r="C168" s="145">
        <f t="shared" si="62"/>
        <v>58927</v>
      </c>
      <c r="D168" s="322">
        <f t="shared" si="62"/>
        <v>43392</v>
      </c>
      <c r="E168" s="323">
        <f t="shared" si="62"/>
        <v>5</v>
      </c>
      <c r="F168" s="316">
        <f t="shared" ref="F168:AQ168" si="69">$C$160*F25</f>
        <v>0</v>
      </c>
      <c r="G168" s="316">
        <f t="shared" si="69"/>
        <v>0</v>
      </c>
      <c r="H168" s="316">
        <f t="shared" si="69"/>
        <v>0</v>
      </c>
      <c r="I168" s="316">
        <f t="shared" si="69"/>
        <v>0</v>
      </c>
      <c r="J168" s="316">
        <f t="shared" si="69"/>
        <v>0</v>
      </c>
      <c r="K168" s="316">
        <f t="shared" si="69"/>
        <v>0</v>
      </c>
      <c r="L168" s="316">
        <f t="shared" si="69"/>
        <v>0</v>
      </c>
      <c r="M168" s="316">
        <f t="shared" si="69"/>
        <v>0</v>
      </c>
      <c r="N168" s="316">
        <f t="shared" si="69"/>
        <v>0</v>
      </c>
      <c r="O168" s="316">
        <f t="shared" si="69"/>
        <v>0</v>
      </c>
      <c r="P168" s="316">
        <f t="shared" si="69"/>
        <v>0</v>
      </c>
      <c r="Q168" s="316">
        <f t="shared" si="69"/>
        <v>0</v>
      </c>
      <c r="R168" s="316">
        <f t="shared" si="69"/>
        <v>0</v>
      </c>
      <c r="S168" s="316">
        <f t="shared" si="69"/>
        <v>0</v>
      </c>
      <c r="T168" s="316">
        <f t="shared" si="69"/>
        <v>0</v>
      </c>
      <c r="U168" s="316">
        <f t="shared" si="69"/>
        <v>0</v>
      </c>
      <c r="V168" s="316">
        <f t="shared" si="69"/>
        <v>0</v>
      </c>
      <c r="W168" s="316">
        <f t="shared" si="69"/>
        <v>0</v>
      </c>
      <c r="X168" s="316">
        <f t="shared" si="69"/>
        <v>0</v>
      </c>
      <c r="Y168" s="316">
        <f t="shared" si="69"/>
        <v>0</v>
      </c>
      <c r="Z168" s="316">
        <f t="shared" si="69"/>
        <v>0</v>
      </c>
      <c r="AA168" s="316">
        <f t="shared" si="69"/>
        <v>0</v>
      </c>
      <c r="AB168" s="316">
        <f t="shared" si="69"/>
        <v>0</v>
      </c>
      <c r="AC168" s="316">
        <f t="shared" si="69"/>
        <v>0</v>
      </c>
      <c r="AD168" s="316">
        <f t="shared" si="69"/>
        <v>0</v>
      </c>
      <c r="AE168" s="316">
        <f t="shared" si="69"/>
        <v>0</v>
      </c>
      <c r="AF168" s="316">
        <f t="shared" si="69"/>
        <v>0</v>
      </c>
      <c r="AG168" s="316">
        <f t="shared" si="69"/>
        <v>0</v>
      </c>
      <c r="AH168" s="316">
        <f t="shared" si="69"/>
        <v>0</v>
      </c>
      <c r="AI168" s="316">
        <f t="shared" si="69"/>
        <v>0</v>
      </c>
      <c r="AJ168" s="316">
        <f t="shared" si="69"/>
        <v>0</v>
      </c>
      <c r="AK168" s="316">
        <f t="shared" si="69"/>
        <v>0</v>
      </c>
      <c r="AL168" s="316">
        <f t="shared" si="69"/>
        <v>0</v>
      </c>
      <c r="AM168" s="316">
        <f t="shared" si="69"/>
        <v>0</v>
      </c>
      <c r="AN168" s="316">
        <f t="shared" si="69"/>
        <v>0</v>
      </c>
      <c r="AO168" s="316">
        <f t="shared" si="69"/>
        <v>0</v>
      </c>
      <c r="AP168" s="316">
        <f t="shared" si="69"/>
        <v>0</v>
      </c>
      <c r="AQ168" s="316">
        <f t="shared" si="69"/>
        <v>0</v>
      </c>
    </row>
    <row r="169" spans="1:44" ht="13.35" customHeight="1">
      <c r="B169" s="142" t="str">
        <f t="shared" si="62"/>
        <v>ShangriLa Farms / Stewardship Sustainable Farm</v>
      </c>
      <c r="C169" s="145">
        <f t="shared" si="62"/>
        <v>397239</v>
      </c>
      <c r="D169" s="322">
        <f t="shared" si="62"/>
        <v>43438</v>
      </c>
      <c r="E169" s="323">
        <f t="shared" si="62"/>
        <v>5</v>
      </c>
      <c r="F169" s="316">
        <f t="shared" ref="F169:AQ169" si="70">$C$160*F26</f>
        <v>0</v>
      </c>
      <c r="G169" s="316">
        <f t="shared" si="70"/>
        <v>0</v>
      </c>
      <c r="H169" s="316">
        <f t="shared" si="70"/>
        <v>0</v>
      </c>
      <c r="I169" s="316">
        <f t="shared" si="70"/>
        <v>0</v>
      </c>
      <c r="J169" s="316">
        <f t="shared" si="70"/>
        <v>0</v>
      </c>
      <c r="K169" s="316">
        <f t="shared" si="70"/>
        <v>0</v>
      </c>
      <c r="L169" s="316">
        <f t="shared" si="70"/>
        <v>0</v>
      </c>
      <c r="M169" s="316">
        <f t="shared" si="70"/>
        <v>0</v>
      </c>
      <c r="N169" s="316">
        <f t="shared" si="70"/>
        <v>0</v>
      </c>
      <c r="O169" s="316">
        <f t="shared" si="70"/>
        <v>0</v>
      </c>
      <c r="P169" s="316">
        <f t="shared" si="70"/>
        <v>0</v>
      </c>
      <c r="Q169" s="316">
        <f t="shared" si="70"/>
        <v>0</v>
      </c>
      <c r="R169" s="316">
        <f t="shared" si="70"/>
        <v>0</v>
      </c>
      <c r="S169" s="316">
        <f t="shared" si="70"/>
        <v>0</v>
      </c>
      <c r="T169" s="316">
        <f t="shared" si="70"/>
        <v>0</v>
      </c>
      <c r="U169" s="316">
        <f t="shared" si="70"/>
        <v>0</v>
      </c>
      <c r="V169" s="316">
        <f t="shared" si="70"/>
        <v>0</v>
      </c>
      <c r="W169" s="316">
        <f t="shared" si="70"/>
        <v>0</v>
      </c>
      <c r="X169" s="316">
        <f t="shared" si="70"/>
        <v>0</v>
      </c>
      <c r="Y169" s="316">
        <f t="shared" si="70"/>
        <v>0</v>
      </c>
      <c r="Z169" s="316">
        <f t="shared" si="70"/>
        <v>0</v>
      </c>
      <c r="AA169" s="316">
        <f t="shared" si="70"/>
        <v>0</v>
      </c>
      <c r="AB169" s="316">
        <f t="shared" si="70"/>
        <v>0</v>
      </c>
      <c r="AC169" s="316">
        <f t="shared" si="70"/>
        <v>0</v>
      </c>
      <c r="AD169" s="316">
        <f t="shared" si="70"/>
        <v>0</v>
      </c>
      <c r="AE169" s="316">
        <f t="shared" si="70"/>
        <v>0</v>
      </c>
      <c r="AF169" s="316">
        <f t="shared" si="70"/>
        <v>0</v>
      </c>
      <c r="AG169" s="316">
        <f t="shared" si="70"/>
        <v>0</v>
      </c>
      <c r="AH169" s="316">
        <f t="shared" si="70"/>
        <v>0</v>
      </c>
      <c r="AI169" s="316">
        <f t="shared" si="70"/>
        <v>0</v>
      </c>
      <c r="AJ169" s="316">
        <f t="shared" si="70"/>
        <v>0</v>
      </c>
      <c r="AK169" s="316">
        <f t="shared" si="70"/>
        <v>0</v>
      </c>
      <c r="AL169" s="316">
        <f t="shared" si="70"/>
        <v>0</v>
      </c>
      <c r="AM169" s="316">
        <f t="shared" si="70"/>
        <v>0</v>
      </c>
      <c r="AN169" s="316">
        <f t="shared" si="70"/>
        <v>0</v>
      </c>
      <c r="AO169" s="316">
        <f t="shared" si="70"/>
        <v>0</v>
      </c>
      <c r="AP169" s="316">
        <f t="shared" si="70"/>
        <v>0</v>
      </c>
      <c r="AQ169" s="316">
        <f t="shared" si="70"/>
        <v>0</v>
      </c>
    </row>
    <row r="170" spans="1:44" ht="13.35" customHeight="1">
      <c r="B170" s="142" t="str">
        <f t="shared" si="62"/>
        <v>Naked Acres</v>
      </c>
      <c r="C170" s="145">
        <f t="shared" si="62"/>
        <v>100000</v>
      </c>
      <c r="D170" s="322">
        <f t="shared" si="62"/>
        <v>43521</v>
      </c>
      <c r="E170" s="323">
        <f t="shared" si="62"/>
        <v>5</v>
      </c>
      <c r="F170" s="316">
        <f t="shared" ref="F170:AQ170" si="71">$C$160*F27</f>
        <v>0</v>
      </c>
      <c r="G170" s="316">
        <f t="shared" si="71"/>
        <v>0</v>
      </c>
      <c r="H170" s="316">
        <f t="shared" si="71"/>
        <v>0</v>
      </c>
      <c r="I170" s="316">
        <f t="shared" si="71"/>
        <v>0</v>
      </c>
      <c r="J170" s="316">
        <f t="shared" si="71"/>
        <v>0</v>
      </c>
      <c r="K170" s="316">
        <f t="shared" si="71"/>
        <v>0</v>
      </c>
      <c r="L170" s="316">
        <f t="shared" si="71"/>
        <v>0</v>
      </c>
      <c r="M170" s="316">
        <f t="shared" si="71"/>
        <v>0</v>
      </c>
      <c r="N170" s="316">
        <f t="shared" si="71"/>
        <v>0</v>
      </c>
      <c r="O170" s="316">
        <f t="shared" si="71"/>
        <v>0</v>
      </c>
      <c r="P170" s="316">
        <f t="shared" si="71"/>
        <v>0</v>
      </c>
      <c r="Q170" s="316">
        <f t="shared" si="71"/>
        <v>0</v>
      </c>
      <c r="R170" s="316">
        <f t="shared" si="71"/>
        <v>0</v>
      </c>
      <c r="S170" s="316">
        <f t="shared" si="71"/>
        <v>0</v>
      </c>
      <c r="T170" s="316">
        <f t="shared" si="71"/>
        <v>0</v>
      </c>
      <c r="U170" s="316">
        <f t="shared" si="71"/>
        <v>0</v>
      </c>
      <c r="V170" s="316">
        <f t="shared" si="71"/>
        <v>0</v>
      </c>
      <c r="W170" s="316">
        <f t="shared" si="71"/>
        <v>0</v>
      </c>
      <c r="X170" s="316">
        <f t="shared" si="71"/>
        <v>0</v>
      </c>
      <c r="Y170" s="316">
        <f t="shared" si="71"/>
        <v>0</v>
      </c>
      <c r="Z170" s="316">
        <f t="shared" si="71"/>
        <v>0</v>
      </c>
      <c r="AA170" s="316">
        <f t="shared" si="71"/>
        <v>0</v>
      </c>
      <c r="AB170" s="316">
        <f t="shared" si="71"/>
        <v>0</v>
      </c>
      <c r="AC170" s="316">
        <f t="shared" si="71"/>
        <v>0</v>
      </c>
      <c r="AD170" s="316">
        <f t="shared" si="71"/>
        <v>0</v>
      </c>
      <c r="AE170" s="316">
        <f t="shared" si="71"/>
        <v>0</v>
      </c>
      <c r="AF170" s="316">
        <f t="shared" si="71"/>
        <v>0</v>
      </c>
      <c r="AG170" s="316">
        <f t="shared" si="71"/>
        <v>0</v>
      </c>
      <c r="AH170" s="316">
        <f t="shared" si="71"/>
        <v>0</v>
      </c>
      <c r="AI170" s="316">
        <f t="shared" si="71"/>
        <v>0</v>
      </c>
      <c r="AJ170" s="316">
        <f t="shared" si="71"/>
        <v>0</v>
      </c>
      <c r="AK170" s="316">
        <f t="shared" si="71"/>
        <v>0</v>
      </c>
      <c r="AL170" s="316">
        <f t="shared" si="71"/>
        <v>0</v>
      </c>
      <c r="AM170" s="316">
        <f t="shared" si="71"/>
        <v>0</v>
      </c>
      <c r="AN170" s="316">
        <f t="shared" si="71"/>
        <v>0</v>
      </c>
      <c r="AO170" s="316">
        <f t="shared" si="71"/>
        <v>0</v>
      </c>
      <c r="AP170" s="316">
        <f t="shared" si="71"/>
        <v>0</v>
      </c>
      <c r="AQ170" s="316">
        <f t="shared" si="71"/>
        <v>0</v>
      </c>
    </row>
    <row r="171" spans="1:44" ht="13.35" customHeight="1">
      <c r="B171" s="142" t="str">
        <f t="shared" si="62"/>
        <v>Fleischer Family Farm</v>
      </c>
      <c r="C171" s="145">
        <f t="shared" si="62"/>
        <v>147769</v>
      </c>
      <c r="D171" s="322">
        <f t="shared" si="62"/>
        <v>43525</v>
      </c>
      <c r="E171" s="323">
        <f t="shared" si="62"/>
        <v>5</v>
      </c>
      <c r="F171" s="316">
        <f t="shared" ref="F171:AQ171" si="72">$C$160*F28</f>
        <v>0</v>
      </c>
      <c r="G171" s="316">
        <f t="shared" si="72"/>
        <v>0</v>
      </c>
      <c r="H171" s="316">
        <f t="shared" si="72"/>
        <v>0</v>
      </c>
      <c r="I171" s="316">
        <f t="shared" si="72"/>
        <v>0</v>
      </c>
      <c r="J171" s="316">
        <f t="shared" si="72"/>
        <v>0</v>
      </c>
      <c r="K171" s="316">
        <f t="shared" si="72"/>
        <v>0</v>
      </c>
      <c r="L171" s="316">
        <f t="shared" si="72"/>
        <v>0</v>
      </c>
      <c r="M171" s="316">
        <f t="shared" si="72"/>
        <v>0</v>
      </c>
      <c r="N171" s="316">
        <f t="shared" si="72"/>
        <v>0</v>
      </c>
      <c r="O171" s="316">
        <f t="shared" si="72"/>
        <v>0</v>
      </c>
      <c r="P171" s="316">
        <f t="shared" si="72"/>
        <v>0</v>
      </c>
      <c r="Q171" s="316">
        <f t="shared" si="72"/>
        <v>0</v>
      </c>
      <c r="R171" s="316">
        <f t="shared" si="72"/>
        <v>0</v>
      </c>
      <c r="S171" s="316">
        <f t="shared" si="72"/>
        <v>0</v>
      </c>
      <c r="T171" s="316">
        <f t="shared" si="72"/>
        <v>0</v>
      </c>
      <c r="U171" s="316">
        <f t="shared" si="72"/>
        <v>0</v>
      </c>
      <c r="V171" s="316">
        <f t="shared" si="72"/>
        <v>0</v>
      </c>
      <c r="W171" s="316">
        <f t="shared" si="72"/>
        <v>0</v>
      </c>
      <c r="X171" s="316">
        <f t="shared" si="72"/>
        <v>0</v>
      </c>
      <c r="Y171" s="316">
        <f t="shared" si="72"/>
        <v>0</v>
      </c>
      <c r="Z171" s="316">
        <f t="shared" si="72"/>
        <v>0</v>
      </c>
      <c r="AA171" s="316">
        <f t="shared" si="72"/>
        <v>0</v>
      </c>
      <c r="AB171" s="316">
        <f t="shared" si="72"/>
        <v>0</v>
      </c>
      <c r="AC171" s="316">
        <f t="shared" si="72"/>
        <v>0</v>
      </c>
      <c r="AD171" s="316">
        <f t="shared" si="72"/>
        <v>0</v>
      </c>
      <c r="AE171" s="316">
        <f t="shared" si="72"/>
        <v>0</v>
      </c>
      <c r="AF171" s="316">
        <f t="shared" si="72"/>
        <v>0</v>
      </c>
      <c r="AG171" s="316">
        <f t="shared" si="72"/>
        <v>0</v>
      </c>
      <c r="AH171" s="316">
        <f t="shared" si="72"/>
        <v>0</v>
      </c>
      <c r="AI171" s="316">
        <f t="shared" si="72"/>
        <v>0</v>
      </c>
      <c r="AJ171" s="316">
        <f t="shared" si="72"/>
        <v>0</v>
      </c>
      <c r="AK171" s="316">
        <f t="shared" si="72"/>
        <v>0</v>
      </c>
      <c r="AL171" s="316">
        <f t="shared" si="72"/>
        <v>0</v>
      </c>
      <c r="AM171" s="316">
        <f t="shared" si="72"/>
        <v>0</v>
      </c>
      <c r="AN171" s="316">
        <f t="shared" si="72"/>
        <v>0</v>
      </c>
      <c r="AO171" s="316">
        <f t="shared" si="72"/>
        <v>0</v>
      </c>
      <c r="AP171" s="316">
        <f t="shared" si="72"/>
        <v>0</v>
      </c>
      <c r="AQ171" s="316">
        <f t="shared" si="72"/>
        <v>0</v>
      </c>
    </row>
    <row r="172" spans="1:44" ht="13.35" customHeight="1">
      <c r="B172" s="142" t="str">
        <f t="shared" si="62"/>
        <v>Tru Livin' Farms</v>
      </c>
      <c r="C172" s="145">
        <f t="shared" si="62"/>
        <v>27126</v>
      </c>
      <c r="D172" s="322">
        <f t="shared" si="62"/>
        <v>43536</v>
      </c>
      <c r="E172" s="323">
        <f t="shared" si="62"/>
        <v>5</v>
      </c>
      <c r="F172" s="316">
        <f t="shared" ref="F172:AQ172" si="73">$C$160*F29</f>
        <v>0</v>
      </c>
      <c r="G172" s="316">
        <f t="shared" si="73"/>
        <v>0</v>
      </c>
      <c r="H172" s="316">
        <f t="shared" si="73"/>
        <v>0</v>
      </c>
      <c r="I172" s="316">
        <f t="shared" si="73"/>
        <v>0</v>
      </c>
      <c r="J172" s="316">
        <f t="shared" si="73"/>
        <v>0</v>
      </c>
      <c r="K172" s="316">
        <f t="shared" si="73"/>
        <v>0</v>
      </c>
      <c r="L172" s="316">
        <f t="shared" si="73"/>
        <v>0</v>
      </c>
      <c r="M172" s="316">
        <f t="shared" si="73"/>
        <v>0</v>
      </c>
      <c r="N172" s="316">
        <f t="shared" si="73"/>
        <v>0</v>
      </c>
      <c r="O172" s="316">
        <f t="shared" si="73"/>
        <v>0</v>
      </c>
      <c r="P172" s="316">
        <f t="shared" si="73"/>
        <v>0</v>
      </c>
      <c r="Q172" s="316">
        <f t="shared" si="73"/>
        <v>0</v>
      </c>
      <c r="R172" s="316">
        <f t="shared" si="73"/>
        <v>0</v>
      </c>
      <c r="S172" s="316">
        <f t="shared" si="73"/>
        <v>0</v>
      </c>
      <c r="T172" s="316">
        <f t="shared" si="73"/>
        <v>0</v>
      </c>
      <c r="U172" s="316">
        <f t="shared" si="73"/>
        <v>0</v>
      </c>
      <c r="V172" s="316">
        <f t="shared" si="73"/>
        <v>0</v>
      </c>
      <c r="W172" s="316">
        <f t="shared" si="73"/>
        <v>0</v>
      </c>
      <c r="X172" s="316">
        <f t="shared" si="73"/>
        <v>0</v>
      </c>
      <c r="Y172" s="316">
        <f t="shared" si="73"/>
        <v>0</v>
      </c>
      <c r="Z172" s="316">
        <f t="shared" si="73"/>
        <v>0</v>
      </c>
      <c r="AA172" s="316">
        <f t="shared" si="73"/>
        <v>0</v>
      </c>
      <c r="AB172" s="316">
        <f t="shared" si="73"/>
        <v>0</v>
      </c>
      <c r="AC172" s="316">
        <f t="shared" si="73"/>
        <v>0</v>
      </c>
      <c r="AD172" s="316">
        <f t="shared" si="73"/>
        <v>0</v>
      </c>
      <c r="AE172" s="316">
        <f t="shared" si="73"/>
        <v>0</v>
      </c>
      <c r="AF172" s="316">
        <f t="shared" si="73"/>
        <v>0</v>
      </c>
      <c r="AG172" s="316">
        <f t="shared" si="73"/>
        <v>0</v>
      </c>
      <c r="AH172" s="316">
        <f t="shared" si="73"/>
        <v>0</v>
      </c>
      <c r="AI172" s="316">
        <f t="shared" si="73"/>
        <v>0</v>
      </c>
      <c r="AJ172" s="316">
        <f t="shared" si="73"/>
        <v>0</v>
      </c>
      <c r="AK172" s="316">
        <f t="shared" si="73"/>
        <v>0</v>
      </c>
      <c r="AL172" s="316">
        <f t="shared" si="73"/>
        <v>0</v>
      </c>
      <c r="AM172" s="316">
        <f t="shared" si="73"/>
        <v>0</v>
      </c>
      <c r="AN172" s="316">
        <f t="shared" si="73"/>
        <v>0</v>
      </c>
      <c r="AO172" s="316">
        <f t="shared" si="73"/>
        <v>0</v>
      </c>
      <c r="AP172" s="316">
        <f t="shared" si="73"/>
        <v>0</v>
      </c>
      <c r="AQ172" s="316">
        <f t="shared" si="73"/>
        <v>0</v>
      </c>
    </row>
    <row r="173" spans="1:44" ht="13.35" customHeight="1">
      <c r="B173" s="142" t="str">
        <f t="shared" si="62"/>
        <v>Red Rooster Farms</v>
      </c>
      <c r="C173" s="145">
        <f t="shared" si="62"/>
        <v>10988</v>
      </c>
      <c r="D173" s="322">
        <f t="shared" si="62"/>
        <v>43537</v>
      </c>
      <c r="E173" s="323">
        <f t="shared" si="62"/>
        <v>5</v>
      </c>
      <c r="F173" s="316">
        <f t="shared" ref="F173:AQ173" si="74">$C$160*F30</f>
        <v>0</v>
      </c>
      <c r="G173" s="316">
        <f t="shared" si="74"/>
        <v>0</v>
      </c>
      <c r="H173" s="316">
        <f t="shared" si="74"/>
        <v>0</v>
      </c>
      <c r="I173" s="316">
        <f t="shared" si="74"/>
        <v>0</v>
      </c>
      <c r="J173" s="316">
        <f t="shared" si="74"/>
        <v>0</v>
      </c>
      <c r="K173" s="316">
        <f t="shared" si="74"/>
        <v>0</v>
      </c>
      <c r="L173" s="316">
        <f t="shared" si="74"/>
        <v>0</v>
      </c>
      <c r="M173" s="316">
        <f t="shared" si="74"/>
        <v>0</v>
      </c>
      <c r="N173" s="316">
        <f t="shared" si="74"/>
        <v>0</v>
      </c>
      <c r="O173" s="316">
        <f t="shared" si="74"/>
        <v>0</v>
      </c>
      <c r="P173" s="316">
        <f t="shared" si="74"/>
        <v>0</v>
      </c>
      <c r="Q173" s="316">
        <f t="shared" si="74"/>
        <v>0</v>
      </c>
      <c r="R173" s="316">
        <f t="shared" si="74"/>
        <v>0</v>
      </c>
      <c r="S173" s="316">
        <f t="shared" si="74"/>
        <v>0</v>
      </c>
      <c r="T173" s="316">
        <f t="shared" si="74"/>
        <v>0</v>
      </c>
      <c r="U173" s="316">
        <f t="shared" si="74"/>
        <v>0</v>
      </c>
      <c r="V173" s="316">
        <f t="shared" si="74"/>
        <v>0</v>
      </c>
      <c r="W173" s="316">
        <f t="shared" si="74"/>
        <v>0</v>
      </c>
      <c r="X173" s="316">
        <f t="shared" si="74"/>
        <v>0</v>
      </c>
      <c r="Y173" s="316">
        <f t="shared" si="74"/>
        <v>0</v>
      </c>
      <c r="Z173" s="316">
        <f t="shared" si="74"/>
        <v>0</v>
      </c>
      <c r="AA173" s="316">
        <f t="shared" si="74"/>
        <v>0</v>
      </c>
      <c r="AB173" s="316">
        <f t="shared" si="74"/>
        <v>0</v>
      </c>
      <c r="AC173" s="316">
        <f t="shared" si="74"/>
        <v>0</v>
      </c>
      <c r="AD173" s="316">
        <f t="shared" si="74"/>
        <v>0</v>
      </c>
      <c r="AE173" s="316">
        <f t="shared" si="74"/>
        <v>0</v>
      </c>
      <c r="AF173" s="316">
        <f t="shared" si="74"/>
        <v>0</v>
      </c>
      <c r="AG173" s="316">
        <f t="shared" si="74"/>
        <v>0</v>
      </c>
      <c r="AH173" s="316">
        <f t="shared" si="74"/>
        <v>0</v>
      </c>
      <c r="AI173" s="316">
        <f t="shared" si="74"/>
        <v>0</v>
      </c>
      <c r="AJ173" s="316">
        <f t="shared" si="74"/>
        <v>0</v>
      </c>
      <c r="AK173" s="316">
        <f t="shared" si="74"/>
        <v>0</v>
      </c>
      <c r="AL173" s="316">
        <f t="shared" si="74"/>
        <v>0</v>
      </c>
      <c r="AM173" s="316">
        <f t="shared" si="74"/>
        <v>0</v>
      </c>
      <c r="AN173" s="316">
        <f t="shared" si="74"/>
        <v>0</v>
      </c>
      <c r="AO173" s="316">
        <f t="shared" si="74"/>
        <v>0</v>
      </c>
      <c r="AP173" s="316">
        <f t="shared" si="74"/>
        <v>0</v>
      </c>
      <c r="AQ173" s="316">
        <f t="shared" si="74"/>
        <v>0</v>
      </c>
    </row>
    <row r="174" spans="1:44" ht="13.35" customHeight="1">
      <c r="B174" s="142" t="str">
        <f t="shared" si="62"/>
        <v>Avrom Farms</v>
      </c>
      <c r="C174" s="145">
        <f t="shared" si="62"/>
        <v>32874</v>
      </c>
      <c r="D174" s="322">
        <f t="shared" si="62"/>
        <v>43537</v>
      </c>
      <c r="E174" s="323">
        <f t="shared" si="62"/>
        <v>5</v>
      </c>
      <c r="F174" s="316">
        <f t="shared" ref="F174:AQ174" si="75">$C$160*F31</f>
        <v>0</v>
      </c>
      <c r="G174" s="316">
        <f t="shared" si="75"/>
        <v>0</v>
      </c>
      <c r="H174" s="316">
        <f t="shared" si="75"/>
        <v>0</v>
      </c>
      <c r="I174" s="316">
        <f t="shared" si="75"/>
        <v>0</v>
      </c>
      <c r="J174" s="316">
        <f t="shared" si="75"/>
        <v>0</v>
      </c>
      <c r="K174" s="316">
        <f t="shared" si="75"/>
        <v>0</v>
      </c>
      <c r="L174" s="316">
        <f t="shared" si="75"/>
        <v>0</v>
      </c>
      <c r="M174" s="316">
        <f t="shared" si="75"/>
        <v>0</v>
      </c>
      <c r="N174" s="316">
        <f t="shared" si="75"/>
        <v>0</v>
      </c>
      <c r="O174" s="316">
        <f t="shared" si="75"/>
        <v>0</v>
      </c>
      <c r="P174" s="316">
        <f t="shared" si="75"/>
        <v>0</v>
      </c>
      <c r="Q174" s="316">
        <f t="shared" si="75"/>
        <v>0</v>
      </c>
      <c r="R174" s="316">
        <f t="shared" si="75"/>
        <v>0</v>
      </c>
      <c r="S174" s="316">
        <f t="shared" si="75"/>
        <v>0</v>
      </c>
      <c r="T174" s="316">
        <f t="shared" si="75"/>
        <v>0</v>
      </c>
      <c r="U174" s="316">
        <f t="shared" si="75"/>
        <v>0</v>
      </c>
      <c r="V174" s="316">
        <f t="shared" si="75"/>
        <v>0</v>
      </c>
      <c r="W174" s="316">
        <f t="shared" si="75"/>
        <v>0</v>
      </c>
      <c r="X174" s="316">
        <f t="shared" si="75"/>
        <v>0</v>
      </c>
      <c r="Y174" s="316">
        <f t="shared" si="75"/>
        <v>0</v>
      </c>
      <c r="Z174" s="316">
        <f t="shared" si="75"/>
        <v>0</v>
      </c>
      <c r="AA174" s="316">
        <f t="shared" si="75"/>
        <v>0</v>
      </c>
      <c r="AB174" s="316">
        <f t="shared" si="75"/>
        <v>0</v>
      </c>
      <c r="AC174" s="316">
        <f t="shared" si="75"/>
        <v>0</v>
      </c>
      <c r="AD174" s="316">
        <f t="shared" si="75"/>
        <v>0</v>
      </c>
      <c r="AE174" s="316">
        <f t="shared" si="75"/>
        <v>0</v>
      </c>
      <c r="AF174" s="316">
        <f t="shared" si="75"/>
        <v>0</v>
      </c>
      <c r="AG174" s="316">
        <f t="shared" si="75"/>
        <v>0</v>
      </c>
      <c r="AH174" s="316">
        <f t="shared" si="75"/>
        <v>0</v>
      </c>
      <c r="AI174" s="316">
        <f t="shared" si="75"/>
        <v>0</v>
      </c>
      <c r="AJ174" s="316">
        <f t="shared" si="75"/>
        <v>0</v>
      </c>
      <c r="AK174" s="316">
        <f t="shared" si="75"/>
        <v>0</v>
      </c>
      <c r="AL174" s="316">
        <f t="shared" si="75"/>
        <v>0</v>
      </c>
      <c r="AM174" s="316">
        <f t="shared" si="75"/>
        <v>0</v>
      </c>
      <c r="AN174" s="316">
        <f t="shared" si="75"/>
        <v>0</v>
      </c>
      <c r="AO174" s="316">
        <f t="shared" si="75"/>
        <v>0</v>
      </c>
      <c r="AP174" s="316">
        <f t="shared" si="75"/>
        <v>0</v>
      </c>
      <c r="AQ174" s="316">
        <f t="shared" si="75"/>
        <v>0</v>
      </c>
    </row>
    <row r="175" spans="1:44" ht="13.35" customHeight="1">
      <c r="B175" s="142" t="str">
        <f t="shared" si="62"/>
        <v>Clear Creek Family Farm</v>
      </c>
      <c r="C175" s="145">
        <f t="shared" si="62"/>
        <v>21717</v>
      </c>
      <c r="D175" s="322">
        <f t="shared" si="62"/>
        <v>43544</v>
      </c>
      <c r="E175" s="323">
        <f t="shared" si="62"/>
        <v>5</v>
      </c>
      <c r="F175" s="316">
        <f t="shared" ref="F175:AQ175" si="76">$C$160*F32</f>
        <v>0</v>
      </c>
      <c r="G175" s="316">
        <f t="shared" si="76"/>
        <v>0</v>
      </c>
      <c r="H175" s="316">
        <f t="shared" si="76"/>
        <v>0</v>
      </c>
      <c r="I175" s="316">
        <f t="shared" si="76"/>
        <v>0</v>
      </c>
      <c r="J175" s="316">
        <f t="shared" si="76"/>
        <v>0</v>
      </c>
      <c r="K175" s="316">
        <f t="shared" si="76"/>
        <v>0</v>
      </c>
      <c r="L175" s="316">
        <f t="shared" si="76"/>
        <v>0</v>
      </c>
      <c r="M175" s="316">
        <f t="shared" si="76"/>
        <v>0</v>
      </c>
      <c r="N175" s="316">
        <f t="shared" si="76"/>
        <v>0</v>
      </c>
      <c r="O175" s="316">
        <f t="shared" si="76"/>
        <v>0</v>
      </c>
      <c r="P175" s="316">
        <f t="shared" si="76"/>
        <v>0</v>
      </c>
      <c r="Q175" s="316">
        <f t="shared" si="76"/>
        <v>0</v>
      </c>
      <c r="R175" s="316">
        <f t="shared" si="76"/>
        <v>0</v>
      </c>
      <c r="S175" s="316">
        <f t="shared" si="76"/>
        <v>0</v>
      </c>
      <c r="T175" s="316">
        <f t="shared" si="76"/>
        <v>0</v>
      </c>
      <c r="U175" s="316">
        <f t="shared" si="76"/>
        <v>0</v>
      </c>
      <c r="V175" s="316">
        <f t="shared" si="76"/>
        <v>0</v>
      </c>
      <c r="W175" s="316">
        <f t="shared" si="76"/>
        <v>0</v>
      </c>
      <c r="X175" s="316">
        <f t="shared" si="76"/>
        <v>0</v>
      </c>
      <c r="Y175" s="316">
        <f t="shared" si="76"/>
        <v>0</v>
      </c>
      <c r="Z175" s="316">
        <f t="shared" si="76"/>
        <v>0</v>
      </c>
      <c r="AA175" s="316">
        <f t="shared" si="76"/>
        <v>0</v>
      </c>
      <c r="AB175" s="316">
        <f t="shared" si="76"/>
        <v>0</v>
      </c>
      <c r="AC175" s="316">
        <f t="shared" si="76"/>
        <v>0</v>
      </c>
      <c r="AD175" s="316">
        <f t="shared" si="76"/>
        <v>0</v>
      </c>
      <c r="AE175" s="316">
        <f t="shared" si="76"/>
        <v>0</v>
      </c>
      <c r="AF175" s="316">
        <f t="shared" si="76"/>
        <v>0</v>
      </c>
      <c r="AG175" s="316">
        <f t="shared" si="76"/>
        <v>0</v>
      </c>
      <c r="AH175" s="316">
        <f t="shared" si="76"/>
        <v>0</v>
      </c>
      <c r="AI175" s="316">
        <f t="shared" si="76"/>
        <v>0</v>
      </c>
      <c r="AJ175" s="316">
        <f t="shared" si="76"/>
        <v>0</v>
      </c>
      <c r="AK175" s="316">
        <f t="shared" si="76"/>
        <v>0</v>
      </c>
      <c r="AL175" s="316">
        <f t="shared" si="76"/>
        <v>0</v>
      </c>
      <c r="AM175" s="316">
        <f t="shared" si="76"/>
        <v>0</v>
      </c>
      <c r="AN175" s="316">
        <f t="shared" si="76"/>
        <v>0</v>
      </c>
      <c r="AO175" s="316">
        <f t="shared" si="76"/>
        <v>0</v>
      </c>
      <c r="AP175" s="316">
        <f t="shared" si="76"/>
        <v>0</v>
      </c>
      <c r="AQ175" s="316">
        <f t="shared" si="76"/>
        <v>0</v>
      </c>
    </row>
    <row r="176" spans="1:44" ht="13.35" customHeight="1">
      <c r="B176" s="142" t="str">
        <f t="shared" si="62"/>
        <v>Kubed Root</v>
      </c>
      <c r="C176" s="145">
        <f t="shared" si="62"/>
        <v>5526</v>
      </c>
      <c r="D176" s="322">
        <f t="shared" si="62"/>
        <v>43571</v>
      </c>
      <c r="E176" s="323">
        <f t="shared" si="62"/>
        <v>5</v>
      </c>
      <c r="F176" s="316">
        <f t="shared" ref="F176:AQ176" si="77">$C$160*F33</f>
        <v>0</v>
      </c>
      <c r="G176" s="316">
        <f t="shared" si="77"/>
        <v>0</v>
      </c>
      <c r="H176" s="316">
        <f t="shared" si="77"/>
        <v>0</v>
      </c>
      <c r="I176" s="316">
        <f t="shared" si="77"/>
        <v>0</v>
      </c>
      <c r="J176" s="316">
        <f t="shared" si="77"/>
        <v>0</v>
      </c>
      <c r="K176" s="316">
        <f t="shared" si="77"/>
        <v>0</v>
      </c>
      <c r="L176" s="316">
        <f t="shared" si="77"/>
        <v>0</v>
      </c>
      <c r="M176" s="316">
        <f t="shared" si="77"/>
        <v>0</v>
      </c>
      <c r="N176" s="316">
        <f t="shared" si="77"/>
        <v>0</v>
      </c>
      <c r="O176" s="316">
        <f t="shared" si="77"/>
        <v>0</v>
      </c>
      <c r="P176" s="316">
        <f t="shared" si="77"/>
        <v>0</v>
      </c>
      <c r="Q176" s="316">
        <f t="shared" si="77"/>
        <v>0</v>
      </c>
      <c r="R176" s="316">
        <f t="shared" si="77"/>
        <v>0</v>
      </c>
      <c r="S176" s="316">
        <f t="shared" si="77"/>
        <v>0</v>
      </c>
      <c r="T176" s="316">
        <f t="shared" si="77"/>
        <v>0</v>
      </c>
      <c r="U176" s="316">
        <f t="shared" si="77"/>
        <v>0</v>
      </c>
      <c r="V176" s="316">
        <f t="shared" si="77"/>
        <v>0</v>
      </c>
      <c r="W176" s="316">
        <f t="shared" si="77"/>
        <v>0</v>
      </c>
      <c r="X176" s="316">
        <f t="shared" si="77"/>
        <v>0</v>
      </c>
      <c r="Y176" s="316">
        <f t="shared" si="77"/>
        <v>0</v>
      </c>
      <c r="Z176" s="316">
        <f t="shared" si="77"/>
        <v>0</v>
      </c>
      <c r="AA176" s="316">
        <f t="shared" si="77"/>
        <v>0</v>
      </c>
      <c r="AB176" s="316">
        <f t="shared" si="77"/>
        <v>0</v>
      </c>
      <c r="AC176" s="316">
        <f t="shared" si="77"/>
        <v>0</v>
      </c>
      <c r="AD176" s="316">
        <f t="shared" si="77"/>
        <v>0</v>
      </c>
      <c r="AE176" s="316">
        <f t="shared" si="77"/>
        <v>0</v>
      </c>
      <c r="AF176" s="316">
        <f t="shared" si="77"/>
        <v>0</v>
      </c>
      <c r="AG176" s="316">
        <f t="shared" si="77"/>
        <v>0</v>
      </c>
      <c r="AH176" s="316">
        <f t="shared" si="77"/>
        <v>0</v>
      </c>
      <c r="AI176" s="316">
        <f t="shared" si="77"/>
        <v>0</v>
      </c>
      <c r="AJ176" s="316">
        <f t="shared" si="77"/>
        <v>0</v>
      </c>
      <c r="AK176" s="316">
        <f t="shared" si="77"/>
        <v>0</v>
      </c>
      <c r="AL176" s="316">
        <f t="shared" si="77"/>
        <v>0</v>
      </c>
      <c r="AM176" s="316">
        <f t="shared" si="77"/>
        <v>0</v>
      </c>
      <c r="AN176" s="316">
        <f t="shared" si="77"/>
        <v>0</v>
      </c>
      <c r="AO176" s="316">
        <f t="shared" si="77"/>
        <v>0</v>
      </c>
      <c r="AP176" s="316">
        <f t="shared" si="77"/>
        <v>0</v>
      </c>
      <c r="AQ176" s="316">
        <f t="shared" si="77"/>
        <v>0</v>
      </c>
    </row>
    <row r="177" spans="1:44" ht="13.35" customHeight="1">
      <c r="A177" s="5"/>
      <c r="B177" s="142" t="str">
        <f t="shared" si="62"/>
        <v>Sierra Valley Farm</v>
      </c>
      <c r="C177" s="145">
        <f t="shared" si="62"/>
        <v>0</v>
      </c>
      <c r="D177" s="322">
        <f t="shared" si="62"/>
        <v>43656</v>
      </c>
      <c r="E177" s="323">
        <f t="shared" si="62"/>
        <v>5</v>
      </c>
      <c r="F177" s="316">
        <f t="shared" ref="F177:AQ177" si="78">$C$160*F34</f>
        <v>0</v>
      </c>
      <c r="G177" s="316">
        <f t="shared" si="78"/>
        <v>0</v>
      </c>
      <c r="H177" s="316">
        <f t="shared" si="78"/>
        <v>0</v>
      </c>
      <c r="I177" s="316">
        <f t="shared" si="78"/>
        <v>0</v>
      </c>
      <c r="J177" s="316">
        <f t="shared" si="78"/>
        <v>0</v>
      </c>
      <c r="K177" s="316">
        <f t="shared" si="78"/>
        <v>0</v>
      </c>
      <c r="L177" s="316">
        <f t="shared" si="78"/>
        <v>0</v>
      </c>
      <c r="M177" s="316">
        <f t="shared" si="78"/>
        <v>0</v>
      </c>
      <c r="N177" s="316">
        <f t="shared" si="78"/>
        <v>0</v>
      </c>
      <c r="O177" s="316">
        <f t="shared" si="78"/>
        <v>0</v>
      </c>
      <c r="P177" s="316">
        <f t="shared" si="78"/>
        <v>0</v>
      </c>
      <c r="Q177" s="316">
        <f t="shared" si="78"/>
        <v>0</v>
      </c>
      <c r="R177" s="316">
        <f t="shared" si="78"/>
        <v>0</v>
      </c>
      <c r="S177" s="316">
        <f t="shared" si="78"/>
        <v>0</v>
      </c>
      <c r="T177" s="316">
        <f t="shared" si="78"/>
        <v>0</v>
      </c>
      <c r="U177" s="316">
        <f t="shared" si="78"/>
        <v>0</v>
      </c>
      <c r="V177" s="316">
        <f t="shared" si="78"/>
        <v>0</v>
      </c>
      <c r="W177" s="316">
        <f t="shared" si="78"/>
        <v>0</v>
      </c>
      <c r="X177" s="316">
        <f t="shared" si="78"/>
        <v>0</v>
      </c>
      <c r="Y177" s="316">
        <f t="shared" si="78"/>
        <v>0</v>
      </c>
      <c r="Z177" s="316">
        <f t="shared" si="78"/>
        <v>0</v>
      </c>
      <c r="AA177" s="316">
        <f t="shared" si="78"/>
        <v>0</v>
      </c>
      <c r="AB177" s="316">
        <f t="shared" si="78"/>
        <v>0</v>
      </c>
      <c r="AC177" s="316">
        <f t="shared" si="78"/>
        <v>0</v>
      </c>
      <c r="AD177" s="316">
        <f t="shared" si="78"/>
        <v>0</v>
      </c>
      <c r="AE177" s="316">
        <f t="shared" si="78"/>
        <v>0</v>
      </c>
      <c r="AF177" s="316">
        <f t="shared" si="78"/>
        <v>0</v>
      </c>
      <c r="AG177" s="316">
        <f t="shared" si="78"/>
        <v>0</v>
      </c>
      <c r="AH177" s="316">
        <f t="shared" si="78"/>
        <v>0</v>
      </c>
      <c r="AI177" s="316">
        <f t="shared" si="78"/>
        <v>0</v>
      </c>
      <c r="AJ177" s="316">
        <f t="shared" si="78"/>
        <v>0</v>
      </c>
      <c r="AK177" s="316">
        <f t="shared" si="78"/>
        <v>0</v>
      </c>
      <c r="AL177" s="316">
        <f t="shared" si="78"/>
        <v>0</v>
      </c>
      <c r="AM177" s="316">
        <f t="shared" si="78"/>
        <v>0</v>
      </c>
      <c r="AN177" s="316">
        <f t="shared" si="78"/>
        <v>0</v>
      </c>
      <c r="AO177" s="316">
        <f t="shared" si="78"/>
        <v>0</v>
      </c>
      <c r="AP177" s="316">
        <f t="shared" si="78"/>
        <v>0</v>
      </c>
      <c r="AQ177" s="316">
        <f t="shared" si="78"/>
        <v>0</v>
      </c>
      <c r="AR177" s="306"/>
    </row>
    <row r="178" spans="1:44" ht="13.35" customHeight="1">
      <c r="A178" s="124" t="s">
        <v>47</v>
      </c>
      <c r="B178" s="310" t="str">
        <f t="shared" si="62"/>
        <v>2020 New Loans to Existing Farms</v>
      </c>
      <c r="C178" s="306" t="str">
        <f t="shared" si="62"/>
        <v>Loan Size</v>
      </c>
      <c r="D178" s="306" t="str">
        <f t="shared" si="62"/>
        <v>Close Date</v>
      </c>
      <c r="E178" s="306" t="str">
        <f t="shared" si="62"/>
        <v>Term (Years)</v>
      </c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30"/>
    </row>
    <row r="179" spans="1:44" ht="13.35" customHeight="1">
      <c r="B179" s="142" t="str">
        <f t="shared" si="62"/>
        <v>ACRE Detroit</v>
      </c>
      <c r="C179" s="145">
        <f t="shared" si="62"/>
        <v>0</v>
      </c>
      <c r="D179" s="322">
        <f t="shared" si="62"/>
        <v>43921</v>
      </c>
      <c r="E179" s="323">
        <f t="shared" si="62"/>
        <v>5</v>
      </c>
      <c r="F179" s="316">
        <f t="shared" ref="F179:AQ179" si="79">$C$160*F36</f>
        <v>0</v>
      </c>
      <c r="G179" s="316">
        <f t="shared" si="79"/>
        <v>0</v>
      </c>
      <c r="H179" s="316">
        <f t="shared" si="79"/>
        <v>0</v>
      </c>
      <c r="I179" s="316">
        <f t="shared" si="79"/>
        <v>0</v>
      </c>
      <c r="J179" s="316">
        <f t="shared" si="79"/>
        <v>0</v>
      </c>
      <c r="K179" s="316">
        <f t="shared" si="79"/>
        <v>0</v>
      </c>
      <c r="L179" s="316">
        <f t="shared" si="79"/>
        <v>0</v>
      </c>
      <c r="M179" s="316">
        <f t="shared" si="79"/>
        <v>0</v>
      </c>
      <c r="N179" s="316">
        <f t="shared" si="79"/>
        <v>0</v>
      </c>
      <c r="O179" s="316">
        <f t="shared" si="79"/>
        <v>0</v>
      </c>
      <c r="P179" s="316">
        <f t="shared" si="79"/>
        <v>0</v>
      </c>
      <c r="Q179" s="316">
        <f t="shared" si="79"/>
        <v>0</v>
      </c>
      <c r="R179" s="316">
        <f t="shared" si="79"/>
        <v>0</v>
      </c>
      <c r="S179" s="316">
        <f t="shared" si="79"/>
        <v>0</v>
      </c>
      <c r="T179" s="316">
        <f t="shared" si="79"/>
        <v>0</v>
      </c>
      <c r="U179" s="316">
        <f t="shared" si="79"/>
        <v>0</v>
      </c>
      <c r="V179" s="316">
        <f t="shared" si="79"/>
        <v>0</v>
      </c>
      <c r="W179" s="316">
        <f t="shared" si="79"/>
        <v>0</v>
      </c>
      <c r="X179" s="316">
        <f t="shared" si="79"/>
        <v>0</v>
      </c>
      <c r="Y179" s="316">
        <f t="shared" si="79"/>
        <v>0</v>
      </c>
      <c r="Z179" s="316">
        <f t="shared" si="79"/>
        <v>0</v>
      </c>
      <c r="AA179" s="316">
        <f t="shared" si="79"/>
        <v>0</v>
      </c>
      <c r="AB179" s="316">
        <f t="shared" si="79"/>
        <v>0</v>
      </c>
      <c r="AC179" s="316">
        <f t="shared" si="79"/>
        <v>0</v>
      </c>
      <c r="AD179" s="316">
        <f t="shared" si="79"/>
        <v>0</v>
      </c>
      <c r="AE179" s="316">
        <f t="shared" si="79"/>
        <v>0</v>
      </c>
      <c r="AF179" s="316">
        <f t="shared" si="79"/>
        <v>0</v>
      </c>
      <c r="AG179" s="316">
        <f t="shared" si="79"/>
        <v>0</v>
      </c>
      <c r="AH179" s="316">
        <f t="shared" si="79"/>
        <v>0</v>
      </c>
      <c r="AI179" s="316">
        <f t="shared" si="79"/>
        <v>0</v>
      </c>
      <c r="AJ179" s="316">
        <f t="shared" si="79"/>
        <v>0</v>
      </c>
      <c r="AK179" s="316">
        <f t="shared" si="79"/>
        <v>0</v>
      </c>
      <c r="AL179" s="316">
        <f t="shared" si="79"/>
        <v>0</v>
      </c>
      <c r="AM179" s="316">
        <f t="shared" si="79"/>
        <v>0</v>
      </c>
      <c r="AN179" s="316">
        <f t="shared" si="79"/>
        <v>0</v>
      </c>
      <c r="AO179" s="316">
        <f t="shared" si="79"/>
        <v>0</v>
      </c>
      <c r="AP179" s="316">
        <f t="shared" si="79"/>
        <v>0</v>
      </c>
      <c r="AQ179" s="316">
        <f t="shared" si="79"/>
        <v>0</v>
      </c>
    </row>
    <row r="180" spans="1:44" s="144" customFormat="1" ht="13.35" customHeight="1">
      <c r="A180" s="124"/>
      <c r="B180" s="142" t="str">
        <f t="shared" si="62"/>
        <v>Fisheye Farms</v>
      </c>
      <c r="C180" s="145">
        <f t="shared" si="62"/>
        <v>300000</v>
      </c>
      <c r="D180" s="322">
        <f t="shared" si="62"/>
        <v>44012</v>
      </c>
      <c r="E180" s="323">
        <f t="shared" si="62"/>
        <v>5</v>
      </c>
      <c r="F180" s="316">
        <f t="shared" ref="F180:AQ180" si="80">$C$160*F37</f>
        <v>0</v>
      </c>
      <c r="G180" s="316">
        <f t="shared" si="80"/>
        <v>0</v>
      </c>
      <c r="H180" s="316">
        <f t="shared" si="80"/>
        <v>0</v>
      </c>
      <c r="I180" s="316">
        <f t="shared" si="80"/>
        <v>0</v>
      </c>
      <c r="J180" s="316">
        <f t="shared" si="80"/>
        <v>0</v>
      </c>
      <c r="K180" s="316">
        <f t="shared" si="80"/>
        <v>9000</v>
      </c>
      <c r="L180" s="316">
        <f t="shared" si="80"/>
        <v>0</v>
      </c>
      <c r="M180" s="316">
        <f t="shared" si="80"/>
        <v>0</v>
      </c>
      <c r="N180" s="316">
        <f t="shared" si="80"/>
        <v>0</v>
      </c>
      <c r="O180" s="316">
        <f t="shared" si="80"/>
        <v>0</v>
      </c>
      <c r="P180" s="316">
        <f t="shared" si="80"/>
        <v>0</v>
      </c>
      <c r="Q180" s="316">
        <f t="shared" si="80"/>
        <v>0</v>
      </c>
      <c r="R180" s="316">
        <f t="shared" si="80"/>
        <v>0</v>
      </c>
      <c r="S180" s="316">
        <f t="shared" si="80"/>
        <v>0</v>
      </c>
      <c r="T180" s="316">
        <f t="shared" si="80"/>
        <v>0</v>
      </c>
      <c r="U180" s="316">
        <f t="shared" si="80"/>
        <v>0</v>
      </c>
      <c r="V180" s="316">
        <f t="shared" si="80"/>
        <v>0</v>
      </c>
      <c r="W180" s="316">
        <f t="shared" si="80"/>
        <v>0</v>
      </c>
      <c r="X180" s="316">
        <f t="shared" si="80"/>
        <v>0</v>
      </c>
      <c r="Y180" s="316">
        <f t="shared" si="80"/>
        <v>0</v>
      </c>
      <c r="Z180" s="316">
        <f t="shared" si="80"/>
        <v>0</v>
      </c>
      <c r="AA180" s="316">
        <f t="shared" si="80"/>
        <v>0</v>
      </c>
      <c r="AB180" s="316">
        <f t="shared" si="80"/>
        <v>0</v>
      </c>
      <c r="AC180" s="316">
        <f t="shared" si="80"/>
        <v>0</v>
      </c>
      <c r="AD180" s="316">
        <f t="shared" si="80"/>
        <v>0</v>
      </c>
      <c r="AE180" s="316">
        <f t="shared" si="80"/>
        <v>0</v>
      </c>
      <c r="AF180" s="316">
        <f t="shared" si="80"/>
        <v>0</v>
      </c>
      <c r="AG180" s="316">
        <f t="shared" si="80"/>
        <v>0</v>
      </c>
      <c r="AH180" s="316">
        <f t="shared" si="80"/>
        <v>0</v>
      </c>
      <c r="AI180" s="316">
        <f t="shared" si="80"/>
        <v>0</v>
      </c>
      <c r="AJ180" s="316">
        <f t="shared" si="80"/>
        <v>0</v>
      </c>
      <c r="AK180" s="316">
        <f t="shared" si="80"/>
        <v>0</v>
      </c>
      <c r="AL180" s="316">
        <f t="shared" si="80"/>
        <v>0</v>
      </c>
      <c r="AM180" s="316">
        <f t="shared" si="80"/>
        <v>0</v>
      </c>
      <c r="AN180" s="316">
        <f t="shared" si="80"/>
        <v>0</v>
      </c>
      <c r="AO180" s="316">
        <f t="shared" si="80"/>
        <v>0</v>
      </c>
      <c r="AP180" s="316">
        <f t="shared" si="80"/>
        <v>0</v>
      </c>
      <c r="AQ180" s="316">
        <f t="shared" si="80"/>
        <v>0</v>
      </c>
    </row>
    <row r="181" spans="1:44" s="144" customFormat="1" ht="13.35" customHeight="1">
      <c r="A181" s="124"/>
      <c r="B181" s="142" t="str">
        <f t="shared" ref="B181:E194" si="81">B106</f>
        <v>Beiler’s Heritage Acres</v>
      </c>
      <c r="C181" s="145">
        <f t="shared" si="81"/>
        <v>500000</v>
      </c>
      <c r="D181" s="322">
        <f t="shared" si="81"/>
        <v>44043</v>
      </c>
      <c r="E181" s="323">
        <f t="shared" si="81"/>
        <v>5</v>
      </c>
      <c r="F181" s="316">
        <f t="shared" ref="F181:AQ181" si="82">$C$160*F38</f>
        <v>0</v>
      </c>
      <c r="G181" s="316">
        <f t="shared" si="82"/>
        <v>0</v>
      </c>
      <c r="H181" s="316">
        <f t="shared" si="82"/>
        <v>0</v>
      </c>
      <c r="I181" s="316">
        <f t="shared" si="82"/>
        <v>0</v>
      </c>
      <c r="J181" s="316">
        <f t="shared" si="82"/>
        <v>0</v>
      </c>
      <c r="K181" s="316">
        <f t="shared" si="82"/>
        <v>0</v>
      </c>
      <c r="L181" s="316">
        <f t="shared" si="82"/>
        <v>15000</v>
      </c>
      <c r="M181" s="316">
        <f t="shared" si="82"/>
        <v>0</v>
      </c>
      <c r="N181" s="316">
        <f t="shared" si="82"/>
        <v>0</v>
      </c>
      <c r="O181" s="316">
        <f t="shared" si="82"/>
        <v>0</v>
      </c>
      <c r="P181" s="316">
        <f t="shared" si="82"/>
        <v>0</v>
      </c>
      <c r="Q181" s="316">
        <f t="shared" si="82"/>
        <v>0</v>
      </c>
      <c r="R181" s="316">
        <f t="shared" si="82"/>
        <v>0</v>
      </c>
      <c r="S181" s="316">
        <f t="shared" si="82"/>
        <v>0</v>
      </c>
      <c r="T181" s="316">
        <f t="shared" si="82"/>
        <v>0</v>
      </c>
      <c r="U181" s="316">
        <f t="shared" si="82"/>
        <v>0</v>
      </c>
      <c r="V181" s="316">
        <f t="shared" si="82"/>
        <v>0</v>
      </c>
      <c r="W181" s="316">
        <f t="shared" si="82"/>
        <v>0</v>
      </c>
      <c r="X181" s="316">
        <f t="shared" si="82"/>
        <v>0</v>
      </c>
      <c r="Y181" s="316">
        <f t="shared" si="82"/>
        <v>0</v>
      </c>
      <c r="Z181" s="316">
        <f t="shared" si="82"/>
        <v>0</v>
      </c>
      <c r="AA181" s="316">
        <f t="shared" si="82"/>
        <v>0</v>
      </c>
      <c r="AB181" s="316">
        <f t="shared" si="82"/>
        <v>0</v>
      </c>
      <c r="AC181" s="316">
        <f t="shared" si="82"/>
        <v>0</v>
      </c>
      <c r="AD181" s="316">
        <f t="shared" si="82"/>
        <v>0</v>
      </c>
      <c r="AE181" s="316">
        <f t="shared" si="82"/>
        <v>0</v>
      </c>
      <c r="AF181" s="316">
        <f t="shared" si="82"/>
        <v>0</v>
      </c>
      <c r="AG181" s="316">
        <f t="shared" si="82"/>
        <v>0</v>
      </c>
      <c r="AH181" s="316">
        <f t="shared" si="82"/>
        <v>0</v>
      </c>
      <c r="AI181" s="316">
        <f t="shared" si="82"/>
        <v>0</v>
      </c>
      <c r="AJ181" s="316">
        <f t="shared" si="82"/>
        <v>0</v>
      </c>
      <c r="AK181" s="316">
        <f t="shared" si="82"/>
        <v>0</v>
      </c>
      <c r="AL181" s="316">
        <f t="shared" si="82"/>
        <v>0</v>
      </c>
      <c r="AM181" s="316">
        <f t="shared" si="82"/>
        <v>0</v>
      </c>
      <c r="AN181" s="316">
        <f t="shared" si="82"/>
        <v>0</v>
      </c>
      <c r="AO181" s="316">
        <f t="shared" si="82"/>
        <v>0</v>
      </c>
      <c r="AP181" s="316">
        <f t="shared" si="82"/>
        <v>0</v>
      </c>
      <c r="AQ181" s="316">
        <f t="shared" si="82"/>
        <v>0</v>
      </c>
    </row>
    <row r="182" spans="1:44" s="144" customFormat="1" ht="13.35" customHeight="1">
      <c r="A182" s="124"/>
      <c r="B182" s="142" t="str">
        <f t="shared" si="81"/>
        <v>Eastfork Cultivars / Hope Mountain</v>
      </c>
      <c r="C182" s="145">
        <f t="shared" si="81"/>
        <v>1000000</v>
      </c>
      <c r="D182" s="322">
        <f t="shared" si="81"/>
        <v>44043</v>
      </c>
      <c r="E182" s="323">
        <f t="shared" si="81"/>
        <v>5</v>
      </c>
      <c r="F182" s="316">
        <f t="shared" ref="F182:AQ182" si="83">$C$160*F39</f>
        <v>0</v>
      </c>
      <c r="G182" s="316">
        <f t="shared" si="83"/>
        <v>0</v>
      </c>
      <c r="H182" s="316">
        <f t="shared" si="83"/>
        <v>0</v>
      </c>
      <c r="I182" s="316">
        <f t="shared" si="83"/>
        <v>0</v>
      </c>
      <c r="J182" s="316">
        <f t="shared" si="83"/>
        <v>0</v>
      </c>
      <c r="K182" s="316">
        <f t="shared" si="83"/>
        <v>0</v>
      </c>
      <c r="L182" s="316">
        <f t="shared" si="83"/>
        <v>30000</v>
      </c>
      <c r="M182" s="316">
        <f t="shared" si="83"/>
        <v>0</v>
      </c>
      <c r="N182" s="316">
        <f t="shared" si="83"/>
        <v>0</v>
      </c>
      <c r="O182" s="316">
        <f t="shared" si="83"/>
        <v>0</v>
      </c>
      <c r="P182" s="316">
        <f t="shared" si="83"/>
        <v>0</v>
      </c>
      <c r="Q182" s="316">
        <f t="shared" si="83"/>
        <v>0</v>
      </c>
      <c r="R182" s="316">
        <f t="shared" si="83"/>
        <v>0</v>
      </c>
      <c r="S182" s="316">
        <f t="shared" si="83"/>
        <v>0</v>
      </c>
      <c r="T182" s="316">
        <f t="shared" si="83"/>
        <v>0</v>
      </c>
      <c r="U182" s="316">
        <f t="shared" si="83"/>
        <v>0</v>
      </c>
      <c r="V182" s="316">
        <f t="shared" si="83"/>
        <v>0</v>
      </c>
      <c r="W182" s="316">
        <f t="shared" si="83"/>
        <v>0</v>
      </c>
      <c r="X182" s="316">
        <f t="shared" si="83"/>
        <v>0</v>
      </c>
      <c r="Y182" s="316">
        <f t="shared" si="83"/>
        <v>0</v>
      </c>
      <c r="Z182" s="316">
        <f t="shared" si="83"/>
        <v>0</v>
      </c>
      <c r="AA182" s="316">
        <f t="shared" si="83"/>
        <v>0</v>
      </c>
      <c r="AB182" s="316">
        <f t="shared" si="83"/>
        <v>0</v>
      </c>
      <c r="AC182" s="316">
        <f t="shared" si="83"/>
        <v>0</v>
      </c>
      <c r="AD182" s="316">
        <f t="shared" si="83"/>
        <v>0</v>
      </c>
      <c r="AE182" s="316">
        <f t="shared" si="83"/>
        <v>0</v>
      </c>
      <c r="AF182" s="316">
        <f t="shared" si="83"/>
        <v>0</v>
      </c>
      <c r="AG182" s="316">
        <f t="shared" si="83"/>
        <v>0</v>
      </c>
      <c r="AH182" s="316">
        <f t="shared" si="83"/>
        <v>0</v>
      </c>
      <c r="AI182" s="316">
        <f t="shared" si="83"/>
        <v>0</v>
      </c>
      <c r="AJ182" s="316">
        <f t="shared" si="83"/>
        <v>0</v>
      </c>
      <c r="AK182" s="316">
        <f t="shared" si="83"/>
        <v>0</v>
      </c>
      <c r="AL182" s="316">
        <f t="shared" si="83"/>
        <v>0</v>
      </c>
      <c r="AM182" s="316">
        <f t="shared" si="83"/>
        <v>0</v>
      </c>
      <c r="AN182" s="316">
        <f t="shared" si="83"/>
        <v>0</v>
      </c>
      <c r="AO182" s="316">
        <f t="shared" si="83"/>
        <v>0</v>
      </c>
      <c r="AP182" s="316">
        <f t="shared" si="83"/>
        <v>0</v>
      </c>
      <c r="AQ182" s="316">
        <f t="shared" si="83"/>
        <v>0</v>
      </c>
    </row>
    <row r="183" spans="1:44" s="144" customFormat="1" ht="13.35" customHeight="1">
      <c r="A183" s="124"/>
      <c r="B183" s="142" t="str">
        <f t="shared" si="81"/>
        <v>Domaine Julien Guillon</v>
      </c>
      <c r="C183" s="145">
        <f t="shared" si="81"/>
        <v>500000</v>
      </c>
      <c r="D183" s="322">
        <f t="shared" si="81"/>
        <v>44074</v>
      </c>
      <c r="E183" s="323">
        <f t="shared" si="81"/>
        <v>5</v>
      </c>
      <c r="F183" s="316">
        <f t="shared" ref="F183:AQ183" si="84">$C$160*F40</f>
        <v>0</v>
      </c>
      <c r="G183" s="316">
        <f t="shared" si="84"/>
        <v>0</v>
      </c>
      <c r="H183" s="316">
        <f t="shared" si="84"/>
        <v>0</v>
      </c>
      <c r="I183" s="316">
        <f t="shared" si="84"/>
        <v>0</v>
      </c>
      <c r="J183" s="316">
        <f t="shared" si="84"/>
        <v>0</v>
      </c>
      <c r="K183" s="316">
        <f t="shared" si="84"/>
        <v>0</v>
      </c>
      <c r="L183" s="316">
        <f t="shared" si="84"/>
        <v>0</v>
      </c>
      <c r="M183" s="316">
        <f t="shared" si="84"/>
        <v>15000</v>
      </c>
      <c r="N183" s="316">
        <f t="shared" si="84"/>
        <v>0</v>
      </c>
      <c r="O183" s="316">
        <f t="shared" si="84"/>
        <v>0</v>
      </c>
      <c r="P183" s="316">
        <f t="shared" si="84"/>
        <v>0</v>
      </c>
      <c r="Q183" s="316">
        <f t="shared" si="84"/>
        <v>0</v>
      </c>
      <c r="R183" s="316">
        <f t="shared" si="84"/>
        <v>0</v>
      </c>
      <c r="S183" s="316">
        <f t="shared" si="84"/>
        <v>0</v>
      </c>
      <c r="T183" s="316">
        <f t="shared" si="84"/>
        <v>0</v>
      </c>
      <c r="U183" s="316">
        <f t="shared" si="84"/>
        <v>0</v>
      </c>
      <c r="V183" s="316">
        <f t="shared" si="84"/>
        <v>0</v>
      </c>
      <c r="W183" s="316">
        <f t="shared" si="84"/>
        <v>0</v>
      </c>
      <c r="X183" s="316">
        <f t="shared" si="84"/>
        <v>0</v>
      </c>
      <c r="Y183" s="316">
        <f t="shared" si="84"/>
        <v>0</v>
      </c>
      <c r="Z183" s="316">
        <f t="shared" si="84"/>
        <v>0</v>
      </c>
      <c r="AA183" s="316">
        <f t="shared" si="84"/>
        <v>0</v>
      </c>
      <c r="AB183" s="316">
        <f t="shared" si="84"/>
        <v>0</v>
      </c>
      <c r="AC183" s="316">
        <f t="shared" si="84"/>
        <v>0</v>
      </c>
      <c r="AD183" s="316">
        <f t="shared" si="84"/>
        <v>0</v>
      </c>
      <c r="AE183" s="316">
        <f t="shared" si="84"/>
        <v>0</v>
      </c>
      <c r="AF183" s="316">
        <f t="shared" si="84"/>
        <v>0</v>
      </c>
      <c r="AG183" s="316">
        <f t="shared" si="84"/>
        <v>0</v>
      </c>
      <c r="AH183" s="316">
        <f t="shared" si="84"/>
        <v>0</v>
      </c>
      <c r="AI183" s="316">
        <f t="shared" si="84"/>
        <v>0</v>
      </c>
      <c r="AJ183" s="316">
        <f t="shared" si="84"/>
        <v>0</v>
      </c>
      <c r="AK183" s="316">
        <f t="shared" si="84"/>
        <v>0</v>
      </c>
      <c r="AL183" s="316">
        <f t="shared" si="84"/>
        <v>0</v>
      </c>
      <c r="AM183" s="316">
        <f t="shared" si="84"/>
        <v>0</v>
      </c>
      <c r="AN183" s="316">
        <f t="shared" si="84"/>
        <v>0</v>
      </c>
      <c r="AO183" s="316">
        <f t="shared" si="84"/>
        <v>0</v>
      </c>
      <c r="AP183" s="316">
        <f t="shared" si="84"/>
        <v>0</v>
      </c>
      <c r="AQ183" s="316">
        <f t="shared" si="84"/>
        <v>0</v>
      </c>
    </row>
    <row r="184" spans="1:44" s="144" customFormat="1" ht="13.35" customHeight="1">
      <c r="A184" s="124"/>
      <c r="B184" s="142" t="str">
        <f t="shared" si="81"/>
        <v xml:space="preserve">Iverstine Family Farm </v>
      </c>
      <c r="C184" s="145">
        <f t="shared" si="81"/>
        <v>750000</v>
      </c>
      <c r="D184" s="322">
        <f t="shared" si="81"/>
        <v>44074</v>
      </c>
      <c r="E184" s="323">
        <f t="shared" si="81"/>
        <v>5</v>
      </c>
      <c r="F184" s="316">
        <f t="shared" ref="F184:AQ184" si="85">$C$160*F41</f>
        <v>0</v>
      </c>
      <c r="G184" s="316">
        <f t="shared" si="85"/>
        <v>0</v>
      </c>
      <c r="H184" s="316">
        <f t="shared" si="85"/>
        <v>0</v>
      </c>
      <c r="I184" s="316">
        <f t="shared" si="85"/>
        <v>0</v>
      </c>
      <c r="J184" s="316">
        <f t="shared" si="85"/>
        <v>0</v>
      </c>
      <c r="K184" s="316">
        <f t="shared" si="85"/>
        <v>0</v>
      </c>
      <c r="L184" s="316">
        <f t="shared" si="85"/>
        <v>0</v>
      </c>
      <c r="M184" s="316">
        <f t="shared" si="85"/>
        <v>22500</v>
      </c>
      <c r="N184" s="316">
        <f t="shared" si="85"/>
        <v>0</v>
      </c>
      <c r="O184" s="316">
        <f t="shared" si="85"/>
        <v>0</v>
      </c>
      <c r="P184" s="316">
        <f t="shared" si="85"/>
        <v>0</v>
      </c>
      <c r="Q184" s="316">
        <f t="shared" si="85"/>
        <v>0</v>
      </c>
      <c r="R184" s="316">
        <f t="shared" si="85"/>
        <v>0</v>
      </c>
      <c r="S184" s="316">
        <f t="shared" si="85"/>
        <v>0</v>
      </c>
      <c r="T184" s="316">
        <f t="shared" si="85"/>
        <v>0</v>
      </c>
      <c r="U184" s="316">
        <f t="shared" si="85"/>
        <v>0</v>
      </c>
      <c r="V184" s="316">
        <f t="shared" si="85"/>
        <v>0</v>
      </c>
      <c r="W184" s="316">
        <f t="shared" si="85"/>
        <v>0</v>
      </c>
      <c r="X184" s="316">
        <f t="shared" si="85"/>
        <v>0</v>
      </c>
      <c r="Y184" s="316">
        <f t="shared" si="85"/>
        <v>0</v>
      </c>
      <c r="Z184" s="316">
        <f t="shared" si="85"/>
        <v>0</v>
      </c>
      <c r="AA184" s="316">
        <f t="shared" si="85"/>
        <v>0</v>
      </c>
      <c r="AB184" s="316">
        <f t="shared" si="85"/>
        <v>0</v>
      </c>
      <c r="AC184" s="316">
        <f t="shared" si="85"/>
        <v>0</v>
      </c>
      <c r="AD184" s="316">
        <f t="shared" si="85"/>
        <v>0</v>
      </c>
      <c r="AE184" s="316">
        <f t="shared" si="85"/>
        <v>0</v>
      </c>
      <c r="AF184" s="316">
        <f t="shared" si="85"/>
        <v>0</v>
      </c>
      <c r="AG184" s="316">
        <f t="shared" si="85"/>
        <v>0</v>
      </c>
      <c r="AH184" s="316">
        <f t="shared" si="85"/>
        <v>0</v>
      </c>
      <c r="AI184" s="316">
        <f t="shared" si="85"/>
        <v>0</v>
      </c>
      <c r="AJ184" s="316">
        <f t="shared" si="85"/>
        <v>0</v>
      </c>
      <c r="AK184" s="316">
        <f t="shared" si="85"/>
        <v>0</v>
      </c>
      <c r="AL184" s="316">
        <f t="shared" si="85"/>
        <v>0</v>
      </c>
      <c r="AM184" s="316">
        <f t="shared" si="85"/>
        <v>0</v>
      </c>
      <c r="AN184" s="316">
        <f t="shared" si="85"/>
        <v>0</v>
      </c>
      <c r="AO184" s="316">
        <f t="shared" si="85"/>
        <v>0</v>
      </c>
      <c r="AP184" s="316">
        <f t="shared" si="85"/>
        <v>0</v>
      </c>
      <c r="AQ184" s="316">
        <f t="shared" si="85"/>
        <v>0</v>
      </c>
    </row>
    <row r="185" spans="1:44" s="144" customFormat="1" ht="13.35" customHeight="1">
      <c r="A185" s="124"/>
      <c r="B185" s="142" t="str">
        <f t="shared" si="81"/>
        <v xml:space="preserve">Dusty Roads Farm </v>
      </c>
      <c r="C185" s="145">
        <f t="shared" si="81"/>
        <v>100000</v>
      </c>
      <c r="D185" s="322">
        <f t="shared" si="81"/>
        <v>44074</v>
      </c>
      <c r="E185" s="323">
        <f t="shared" si="81"/>
        <v>5</v>
      </c>
      <c r="F185" s="316">
        <f t="shared" ref="F185:AQ185" si="86">$C$160*F42</f>
        <v>0</v>
      </c>
      <c r="G185" s="316">
        <f t="shared" si="86"/>
        <v>0</v>
      </c>
      <c r="H185" s="316">
        <f t="shared" si="86"/>
        <v>0</v>
      </c>
      <c r="I185" s="316">
        <f t="shared" si="86"/>
        <v>0</v>
      </c>
      <c r="J185" s="316">
        <f t="shared" si="86"/>
        <v>0</v>
      </c>
      <c r="K185" s="316">
        <f t="shared" si="86"/>
        <v>0</v>
      </c>
      <c r="L185" s="316">
        <f t="shared" si="86"/>
        <v>0</v>
      </c>
      <c r="M185" s="316">
        <f t="shared" si="86"/>
        <v>3000</v>
      </c>
      <c r="N185" s="316">
        <f t="shared" si="86"/>
        <v>0</v>
      </c>
      <c r="O185" s="316">
        <f t="shared" si="86"/>
        <v>0</v>
      </c>
      <c r="P185" s="316">
        <f t="shared" si="86"/>
        <v>0</v>
      </c>
      <c r="Q185" s="316">
        <f t="shared" si="86"/>
        <v>0</v>
      </c>
      <c r="R185" s="316">
        <f t="shared" si="86"/>
        <v>0</v>
      </c>
      <c r="S185" s="316">
        <f t="shared" si="86"/>
        <v>0</v>
      </c>
      <c r="T185" s="316">
        <f t="shared" si="86"/>
        <v>0</v>
      </c>
      <c r="U185" s="316">
        <f t="shared" si="86"/>
        <v>0</v>
      </c>
      <c r="V185" s="316">
        <f t="shared" si="86"/>
        <v>0</v>
      </c>
      <c r="W185" s="316">
        <f t="shared" si="86"/>
        <v>0</v>
      </c>
      <c r="X185" s="316">
        <f t="shared" si="86"/>
        <v>0</v>
      </c>
      <c r="Y185" s="316">
        <f t="shared" si="86"/>
        <v>0</v>
      </c>
      <c r="Z185" s="316">
        <f t="shared" si="86"/>
        <v>0</v>
      </c>
      <c r="AA185" s="316">
        <f t="shared" si="86"/>
        <v>0</v>
      </c>
      <c r="AB185" s="316">
        <f t="shared" si="86"/>
        <v>0</v>
      </c>
      <c r="AC185" s="316">
        <f t="shared" si="86"/>
        <v>0</v>
      </c>
      <c r="AD185" s="316">
        <f t="shared" si="86"/>
        <v>0</v>
      </c>
      <c r="AE185" s="316">
        <f t="shared" si="86"/>
        <v>0</v>
      </c>
      <c r="AF185" s="316">
        <f t="shared" si="86"/>
        <v>0</v>
      </c>
      <c r="AG185" s="316">
        <f t="shared" si="86"/>
        <v>0</v>
      </c>
      <c r="AH185" s="316">
        <f t="shared" si="86"/>
        <v>0</v>
      </c>
      <c r="AI185" s="316">
        <f t="shared" si="86"/>
        <v>0</v>
      </c>
      <c r="AJ185" s="316">
        <f t="shared" si="86"/>
        <v>0</v>
      </c>
      <c r="AK185" s="316">
        <f t="shared" si="86"/>
        <v>0</v>
      </c>
      <c r="AL185" s="316">
        <f t="shared" si="86"/>
        <v>0</v>
      </c>
      <c r="AM185" s="316">
        <f t="shared" si="86"/>
        <v>0</v>
      </c>
      <c r="AN185" s="316">
        <f t="shared" si="86"/>
        <v>0</v>
      </c>
      <c r="AO185" s="316">
        <f t="shared" si="86"/>
        <v>0</v>
      </c>
      <c r="AP185" s="316">
        <f t="shared" si="86"/>
        <v>0</v>
      </c>
      <c r="AQ185" s="316">
        <f t="shared" si="86"/>
        <v>0</v>
      </c>
    </row>
    <row r="186" spans="1:44" s="144" customFormat="1" ht="13.35" customHeight="1">
      <c r="A186" s="124"/>
      <c r="B186" s="142" t="str">
        <f t="shared" si="81"/>
        <v>ShangriLa Farms / Stewardship Sustainable Farm</v>
      </c>
      <c r="C186" s="145">
        <f t="shared" si="81"/>
        <v>2000000</v>
      </c>
      <c r="D186" s="322">
        <f t="shared" si="81"/>
        <v>44104</v>
      </c>
      <c r="E186" s="323">
        <f t="shared" si="81"/>
        <v>5</v>
      </c>
      <c r="F186" s="316">
        <f t="shared" ref="F186:AQ186" si="87">$C$160*F43</f>
        <v>0</v>
      </c>
      <c r="G186" s="316">
        <f t="shared" si="87"/>
        <v>0</v>
      </c>
      <c r="H186" s="316">
        <f t="shared" si="87"/>
        <v>0</v>
      </c>
      <c r="I186" s="316">
        <f t="shared" si="87"/>
        <v>0</v>
      </c>
      <c r="J186" s="316">
        <f t="shared" si="87"/>
        <v>0</v>
      </c>
      <c r="K186" s="316">
        <f t="shared" si="87"/>
        <v>0</v>
      </c>
      <c r="L186" s="316">
        <f t="shared" si="87"/>
        <v>0</v>
      </c>
      <c r="M186" s="316">
        <f t="shared" si="87"/>
        <v>0</v>
      </c>
      <c r="N186" s="316">
        <f t="shared" si="87"/>
        <v>60000</v>
      </c>
      <c r="O186" s="316">
        <f t="shared" si="87"/>
        <v>0</v>
      </c>
      <c r="P186" s="316">
        <f t="shared" si="87"/>
        <v>0</v>
      </c>
      <c r="Q186" s="316">
        <f t="shared" si="87"/>
        <v>0</v>
      </c>
      <c r="R186" s="316">
        <f t="shared" si="87"/>
        <v>0</v>
      </c>
      <c r="S186" s="316">
        <f t="shared" si="87"/>
        <v>0</v>
      </c>
      <c r="T186" s="316">
        <f t="shared" si="87"/>
        <v>0</v>
      </c>
      <c r="U186" s="316">
        <f t="shared" si="87"/>
        <v>0</v>
      </c>
      <c r="V186" s="316">
        <f t="shared" si="87"/>
        <v>0</v>
      </c>
      <c r="W186" s="316">
        <f t="shared" si="87"/>
        <v>0</v>
      </c>
      <c r="X186" s="316">
        <f t="shared" si="87"/>
        <v>0</v>
      </c>
      <c r="Y186" s="316">
        <f t="shared" si="87"/>
        <v>0</v>
      </c>
      <c r="Z186" s="316">
        <f t="shared" si="87"/>
        <v>0</v>
      </c>
      <c r="AA186" s="316">
        <f t="shared" si="87"/>
        <v>0</v>
      </c>
      <c r="AB186" s="316">
        <f t="shared" si="87"/>
        <v>0</v>
      </c>
      <c r="AC186" s="316">
        <f t="shared" si="87"/>
        <v>0</v>
      </c>
      <c r="AD186" s="316">
        <f t="shared" si="87"/>
        <v>0</v>
      </c>
      <c r="AE186" s="316">
        <f t="shared" si="87"/>
        <v>0</v>
      </c>
      <c r="AF186" s="316">
        <f t="shared" si="87"/>
        <v>0</v>
      </c>
      <c r="AG186" s="316">
        <f t="shared" si="87"/>
        <v>0</v>
      </c>
      <c r="AH186" s="316">
        <f t="shared" si="87"/>
        <v>0</v>
      </c>
      <c r="AI186" s="316">
        <f t="shared" si="87"/>
        <v>0</v>
      </c>
      <c r="AJ186" s="316">
        <f t="shared" si="87"/>
        <v>0</v>
      </c>
      <c r="AK186" s="316">
        <f t="shared" si="87"/>
        <v>0</v>
      </c>
      <c r="AL186" s="316">
        <f t="shared" si="87"/>
        <v>0</v>
      </c>
      <c r="AM186" s="316">
        <f t="shared" si="87"/>
        <v>0</v>
      </c>
      <c r="AN186" s="316">
        <f t="shared" si="87"/>
        <v>0</v>
      </c>
      <c r="AO186" s="316">
        <f t="shared" si="87"/>
        <v>0</v>
      </c>
      <c r="AP186" s="316">
        <f t="shared" si="87"/>
        <v>0</v>
      </c>
      <c r="AQ186" s="316">
        <f t="shared" si="87"/>
        <v>0</v>
      </c>
    </row>
    <row r="187" spans="1:44" s="144" customFormat="1" ht="13.35" customHeight="1">
      <c r="A187" s="124"/>
      <c r="B187" s="142" t="str">
        <f t="shared" si="81"/>
        <v>Naked Acres</v>
      </c>
      <c r="C187" s="145">
        <f t="shared" si="81"/>
        <v>500000</v>
      </c>
      <c r="D187" s="322">
        <f t="shared" si="81"/>
        <v>44104</v>
      </c>
      <c r="E187" s="323">
        <f t="shared" si="81"/>
        <v>5</v>
      </c>
      <c r="F187" s="316">
        <f t="shared" ref="F187:AQ187" si="88">$C$160*F44</f>
        <v>0</v>
      </c>
      <c r="G187" s="316">
        <f t="shared" si="88"/>
        <v>0</v>
      </c>
      <c r="H187" s="316">
        <f t="shared" si="88"/>
        <v>0</v>
      </c>
      <c r="I187" s="316">
        <f t="shared" si="88"/>
        <v>0</v>
      </c>
      <c r="J187" s="316">
        <f t="shared" si="88"/>
        <v>0</v>
      </c>
      <c r="K187" s="316">
        <f t="shared" si="88"/>
        <v>0</v>
      </c>
      <c r="L187" s="316">
        <f t="shared" si="88"/>
        <v>0</v>
      </c>
      <c r="M187" s="316">
        <f t="shared" si="88"/>
        <v>0</v>
      </c>
      <c r="N187" s="316">
        <f t="shared" si="88"/>
        <v>15000</v>
      </c>
      <c r="O187" s="316">
        <f t="shared" si="88"/>
        <v>0</v>
      </c>
      <c r="P187" s="316">
        <f t="shared" si="88"/>
        <v>0</v>
      </c>
      <c r="Q187" s="316">
        <f t="shared" si="88"/>
        <v>0</v>
      </c>
      <c r="R187" s="316">
        <f t="shared" si="88"/>
        <v>0</v>
      </c>
      <c r="S187" s="316">
        <f t="shared" si="88"/>
        <v>0</v>
      </c>
      <c r="T187" s="316">
        <f t="shared" si="88"/>
        <v>0</v>
      </c>
      <c r="U187" s="316">
        <f t="shared" si="88"/>
        <v>0</v>
      </c>
      <c r="V187" s="316">
        <f t="shared" si="88"/>
        <v>0</v>
      </c>
      <c r="W187" s="316">
        <f t="shared" si="88"/>
        <v>0</v>
      </c>
      <c r="X187" s="316">
        <f t="shared" si="88"/>
        <v>0</v>
      </c>
      <c r="Y187" s="316">
        <f t="shared" si="88"/>
        <v>0</v>
      </c>
      <c r="Z187" s="316">
        <f t="shared" si="88"/>
        <v>0</v>
      </c>
      <c r="AA187" s="316">
        <f t="shared" si="88"/>
        <v>0</v>
      </c>
      <c r="AB187" s="316">
        <f t="shared" si="88"/>
        <v>0</v>
      </c>
      <c r="AC187" s="316">
        <f t="shared" si="88"/>
        <v>0</v>
      </c>
      <c r="AD187" s="316">
        <f t="shared" si="88"/>
        <v>0</v>
      </c>
      <c r="AE187" s="316">
        <f t="shared" si="88"/>
        <v>0</v>
      </c>
      <c r="AF187" s="316">
        <f t="shared" si="88"/>
        <v>0</v>
      </c>
      <c r="AG187" s="316">
        <f t="shared" si="88"/>
        <v>0</v>
      </c>
      <c r="AH187" s="316">
        <f t="shared" si="88"/>
        <v>0</v>
      </c>
      <c r="AI187" s="316">
        <f t="shared" si="88"/>
        <v>0</v>
      </c>
      <c r="AJ187" s="316">
        <f t="shared" si="88"/>
        <v>0</v>
      </c>
      <c r="AK187" s="316">
        <f t="shared" si="88"/>
        <v>0</v>
      </c>
      <c r="AL187" s="316">
        <f t="shared" si="88"/>
        <v>0</v>
      </c>
      <c r="AM187" s="316">
        <f t="shared" si="88"/>
        <v>0</v>
      </c>
      <c r="AN187" s="316">
        <f t="shared" si="88"/>
        <v>0</v>
      </c>
      <c r="AO187" s="316">
        <f t="shared" si="88"/>
        <v>0</v>
      </c>
      <c r="AP187" s="316">
        <f t="shared" si="88"/>
        <v>0</v>
      </c>
      <c r="AQ187" s="316">
        <f t="shared" si="88"/>
        <v>0</v>
      </c>
    </row>
    <row r="188" spans="1:44" s="144" customFormat="1" ht="13.35" customHeight="1">
      <c r="A188" s="124"/>
      <c r="B188" s="142" t="str">
        <f t="shared" si="81"/>
        <v>Fleischer Family Farm</v>
      </c>
      <c r="C188" s="145">
        <f t="shared" si="81"/>
        <v>200000</v>
      </c>
      <c r="D188" s="322">
        <f t="shared" si="81"/>
        <v>44104</v>
      </c>
      <c r="E188" s="323">
        <f t="shared" si="81"/>
        <v>5</v>
      </c>
      <c r="F188" s="316">
        <f t="shared" ref="F188:AQ188" si="89">$C$160*F45</f>
        <v>0</v>
      </c>
      <c r="G188" s="316">
        <f t="shared" si="89"/>
        <v>0</v>
      </c>
      <c r="H188" s="316">
        <f t="shared" si="89"/>
        <v>0</v>
      </c>
      <c r="I188" s="316">
        <f t="shared" si="89"/>
        <v>0</v>
      </c>
      <c r="J188" s="316">
        <f t="shared" si="89"/>
        <v>0</v>
      </c>
      <c r="K188" s="316">
        <f t="shared" si="89"/>
        <v>0</v>
      </c>
      <c r="L188" s="316">
        <f t="shared" si="89"/>
        <v>0</v>
      </c>
      <c r="M188" s="316">
        <f t="shared" si="89"/>
        <v>0</v>
      </c>
      <c r="N188" s="316">
        <f t="shared" si="89"/>
        <v>6000</v>
      </c>
      <c r="O188" s="316">
        <f t="shared" si="89"/>
        <v>0</v>
      </c>
      <c r="P188" s="316">
        <f t="shared" si="89"/>
        <v>0</v>
      </c>
      <c r="Q188" s="316">
        <f t="shared" si="89"/>
        <v>0</v>
      </c>
      <c r="R188" s="316">
        <f t="shared" si="89"/>
        <v>0</v>
      </c>
      <c r="S188" s="316">
        <f t="shared" si="89"/>
        <v>0</v>
      </c>
      <c r="T188" s="316">
        <f t="shared" si="89"/>
        <v>0</v>
      </c>
      <c r="U188" s="316">
        <f t="shared" si="89"/>
        <v>0</v>
      </c>
      <c r="V188" s="316">
        <f t="shared" si="89"/>
        <v>0</v>
      </c>
      <c r="W188" s="316">
        <f t="shared" si="89"/>
        <v>0</v>
      </c>
      <c r="X188" s="316">
        <f t="shared" si="89"/>
        <v>0</v>
      </c>
      <c r="Y188" s="316">
        <f t="shared" si="89"/>
        <v>0</v>
      </c>
      <c r="Z188" s="316">
        <f t="shared" si="89"/>
        <v>0</v>
      </c>
      <c r="AA188" s="316">
        <f t="shared" si="89"/>
        <v>0</v>
      </c>
      <c r="AB188" s="316">
        <f t="shared" si="89"/>
        <v>0</v>
      </c>
      <c r="AC188" s="316">
        <f t="shared" si="89"/>
        <v>0</v>
      </c>
      <c r="AD188" s="316">
        <f t="shared" si="89"/>
        <v>0</v>
      </c>
      <c r="AE188" s="316">
        <f t="shared" si="89"/>
        <v>0</v>
      </c>
      <c r="AF188" s="316">
        <f t="shared" si="89"/>
        <v>0</v>
      </c>
      <c r="AG188" s="316">
        <f t="shared" si="89"/>
        <v>0</v>
      </c>
      <c r="AH188" s="316">
        <f t="shared" si="89"/>
        <v>0</v>
      </c>
      <c r="AI188" s="316">
        <f t="shared" si="89"/>
        <v>0</v>
      </c>
      <c r="AJ188" s="316">
        <f t="shared" si="89"/>
        <v>0</v>
      </c>
      <c r="AK188" s="316">
        <f t="shared" si="89"/>
        <v>0</v>
      </c>
      <c r="AL188" s="316">
        <f t="shared" si="89"/>
        <v>0</v>
      </c>
      <c r="AM188" s="316">
        <f t="shared" si="89"/>
        <v>0</v>
      </c>
      <c r="AN188" s="316">
        <f t="shared" si="89"/>
        <v>0</v>
      </c>
      <c r="AO188" s="316">
        <f t="shared" si="89"/>
        <v>0</v>
      </c>
      <c r="AP188" s="316">
        <f t="shared" si="89"/>
        <v>0</v>
      </c>
      <c r="AQ188" s="316">
        <f t="shared" si="89"/>
        <v>0</v>
      </c>
    </row>
    <row r="189" spans="1:44" s="144" customFormat="1" ht="13.35" customHeight="1">
      <c r="A189" s="124"/>
      <c r="B189" s="142" t="str">
        <f t="shared" si="81"/>
        <v>Tru Livin' Farms</v>
      </c>
      <c r="C189" s="145">
        <f t="shared" si="81"/>
        <v>200000</v>
      </c>
      <c r="D189" s="322">
        <f t="shared" si="81"/>
        <v>44135</v>
      </c>
      <c r="E189" s="323">
        <f t="shared" si="81"/>
        <v>5</v>
      </c>
      <c r="F189" s="316">
        <f t="shared" ref="F189:AQ189" si="90">$C$160*F46</f>
        <v>0</v>
      </c>
      <c r="G189" s="316">
        <f t="shared" si="90"/>
        <v>0</v>
      </c>
      <c r="H189" s="316">
        <f t="shared" si="90"/>
        <v>0</v>
      </c>
      <c r="I189" s="316">
        <f t="shared" si="90"/>
        <v>0</v>
      </c>
      <c r="J189" s="316">
        <f t="shared" si="90"/>
        <v>0</v>
      </c>
      <c r="K189" s="316">
        <f t="shared" si="90"/>
        <v>0</v>
      </c>
      <c r="L189" s="316">
        <f t="shared" si="90"/>
        <v>0</v>
      </c>
      <c r="M189" s="316">
        <f t="shared" si="90"/>
        <v>0</v>
      </c>
      <c r="N189" s="316">
        <f t="shared" si="90"/>
        <v>0</v>
      </c>
      <c r="O189" s="316">
        <f t="shared" si="90"/>
        <v>6000</v>
      </c>
      <c r="P189" s="316">
        <f t="shared" si="90"/>
        <v>0</v>
      </c>
      <c r="Q189" s="316">
        <f t="shared" si="90"/>
        <v>0</v>
      </c>
      <c r="R189" s="316">
        <f t="shared" si="90"/>
        <v>0</v>
      </c>
      <c r="S189" s="316">
        <f t="shared" si="90"/>
        <v>0</v>
      </c>
      <c r="T189" s="316">
        <f t="shared" si="90"/>
        <v>0</v>
      </c>
      <c r="U189" s="316">
        <f t="shared" si="90"/>
        <v>0</v>
      </c>
      <c r="V189" s="316">
        <f t="shared" si="90"/>
        <v>0</v>
      </c>
      <c r="W189" s="316">
        <f t="shared" si="90"/>
        <v>0</v>
      </c>
      <c r="X189" s="316">
        <f t="shared" si="90"/>
        <v>0</v>
      </c>
      <c r="Y189" s="316">
        <f t="shared" si="90"/>
        <v>0</v>
      </c>
      <c r="Z189" s="316">
        <f t="shared" si="90"/>
        <v>0</v>
      </c>
      <c r="AA189" s="316">
        <f t="shared" si="90"/>
        <v>0</v>
      </c>
      <c r="AB189" s="316">
        <f t="shared" si="90"/>
        <v>0</v>
      </c>
      <c r="AC189" s="316">
        <f t="shared" si="90"/>
        <v>0</v>
      </c>
      <c r="AD189" s="316">
        <f t="shared" si="90"/>
        <v>0</v>
      </c>
      <c r="AE189" s="316">
        <f t="shared" si="90"/>
        <v>0</v>
      </c>
      <c r="AF189" s="316">
        <f t="shared" si="90"/>
        <v>0</v>
      </c>
      <c r="AG189" s="316">
        <f t="shared" si="90"/>
        <v>0</v>
      </c>
      <c r="AH189" s="316">
        <f t="shared" si="90"/>
        <v>0</v>
      </c>
      <c r="AI189" s="316">
        <f t="shared" si="90"/>
        <v>0</v>
      </c>
      <c r="AJ189" s="316">
        <f t="shared" si="90"/>
        <v>0</v>
      </c>
      <c r="AK189" s="316">
        <f t="shared" si="90"/>
        <v>0</v>
      </c>
      <c r="AL189" s="316">
        <f t="shared" si="90"/>
        <v>0</v>
      </c>
      <c r="AM189" s="316">
        <f t="shared" si="90"/>
        <v>0</v>
      </c>
      <c r="AN189" s="316">
        <f t="shared" si="90"/>
        <v>0</v>
      </c>
      <c r="AO189" s="316">
        <f t="shared" si="90"/>
        <v>0</v>
      </c>
      <c r="AP189" s="316">
        <f t="shared" si="90"/>
        <v>0</v>
      </c>
      <c r="AQ189" s="316">
        <f t="shared" si="90"/>
        <v>0</v>
      </c>
    </row>
    <row r="190" spans="1:44" s="144" customFormat="1" ht="13.35" customHeight="1">
      <c r="A190" s="124"/>
      <c r="B190" s="142" t="str">
        <f t="shared" si="81"/>
        <v>Red Rooster Farms</v>
      </c>
      <c r="C190" s="145">
        <f t="shared" si="81"/>
        <v>50000</v>
      </c>
      <c r="D190" s="322">
        <f t="shared" si="81"/>
        <v>44135</v>
      </c>
      <c r="E190" s="323">
        <f t="shared" si="81"/>
        <v>5</v>
      </c>
      <c r="F190" s="316">
        <f t="shared" ref="F190:AQ190" si="91">$C$160*F47</f>
        <v>0</v>
      </c>
      <c r="G190" s="316">
        <f t="shared" si="91"/>
        <v>0</v>
      </c>
      <c r="H190" s="316">
        <f t="shared" si="91"/>
        <v>0</v>
      </c>
      <c r="I190" s="316">
        <f t="shared" si="91"/>
        <v>0</v>
      </c>
      <c r="J190" s="316">
        <f t="shared" si="91"/>
        <v>0</v>
      </c>
      <c r="K190" s="316">
        <f t="shared" si="91"/>
        <v>0</v>
      </c>
      <c r="L190" s="316">
        <f t="shared" si="91"/>
        <v>0</v>
      </c>
      <c r="M190" s="316">
        <f t="shared" si="91"/>
        <v>0</v>
      </c>
      <c r="N190" s="316">
        <f t="shared" si="91"/>
        <v>0</v>
      </c>
      <c r="O190" s="316">
        <f t="shared" si="91"/>
        <v>1500</v>
      </c>
      <c r="P190" s="316">
        <f t="shared" si="91"/>
        <v>0</v>
      </c>
      <c r="Q190" s="316">
        <f t="shared" si="91"/>
        <v>0</v>
      </c>
      <c r="R190" s="316">
        <f t="shared" si="91"/>
        <v>0</v>
      </c>
      <c r="S190" s="316">
        <f t="shared" si="91"/>
        <v>0</v>
      </c>
      <c r="T190" s="316">
        <f t="shared" si="91"/>
        <v>0</v>
      </c>
      <c r="U190" s="316">
        <f t="shared" si="91"/>
        <v>0</v>
      </c>
      <c r="V190" s="316">
        <f t="shared" si="91"/>
        <v>0</v>
      </c>
      <c r="W190" s="316">
        <f t="shared" si="91"/>
        <v>0</v>
      </c>
      <c r="X190" s="316">
        <f t="shared" si="91"/>
        <v>0</v>
      </c>
      <c r="Y190" s="316">
        <f t="shared" si="91"/>
        <v>0</v>
      </c>
      <c r="Z190" s="316">
        <f t="shared" si="91"/>
        <v>0</v>
      </c>
      <c r="AA190" s="316">
        <f t="shared" si="91"/>
        <v>0</v>
      </c>
      <c r="AB190" s="316">
        <f t="shared" si="91"/>
        <v>0</v>
      </c>
      <c r="AC190" s="316">
        <f t="shared" si="91"/>
        <v>0</v>
      </c>
      <c r="AD190" s="316">
        <f t="shared" si="91"/>
        <v>0</v>
      </c>
      <c r="AE190" s="316">
        <f t="shared" si="91"/>
        <v>0</v>
      </c>
      <c r="AF190" s="316">
        <f t="shared" si="91"/>
        <v>0</v>
      </c>
      <c r="AG190" s="316">
        <f t="shared" si="91"/>
        <v>0</v>
      </c>
      <c r="AH190" s="316">
        <f t="shared" si="91"/>
        <v>0</v>
      </c>
      <c r="AI190" s="316">
        <f t="shared" si="91"/>
        <v>0</v>
      </c>
      <c r="AJ190" s="316">
        <f t="shared" si="91"/>
        <v>0</v>
      </c>
      <c r="AK190" s="316">
        <f t="shared" si="91"/>
        <v>0</v>
      </c>
      <c r="AL190" s="316">
        <f t="shared" si="91"/>
        <v>0</v>
      </c>
      <c r="AM190" s="316">
        <f t="shared" si="91"/>
        <v>0</v>
      </c>
      <c r="AN190" s="316">
        <f t="shared" si="91"/>
        <v>0</v>
      </c>
      <c r="AO190" s="316">
        <f t="shared" si="91"/>
        <v>0</v>
      </c>
      <c r="AP190" s="316">
        <f t="shared" si="91"/>
        <v>0</v>
      </c>
      <c r="AQ190" s="316">
        <f t="shared" si="91"/>
        <v>0</v>
      </c>
    </row>
    <row r="191" spans="1:44" s="144" customFormat="1" ht="13.35" customHeight="1">
      <c r="A191" s="124"/>
      <c r="B191" s="142" t="str">
        <f t="shared" si="81"/>
        <v>Avrom Farms</v>
      </c>
      <c r="C191" s="145">
        <f t="shared" si="81"/>
        <v>250000</v>
      </c>
      <c r="D191" s="322">
        <f t="shared" si="81"/>
        <v>44135</v>
      </c>
      <c r="E191" s="323">
        <f t="shared" si="81"/>
        <v>5</v>
      </c>
      <c r="F191" s="316">
        <f t="shared" ref="F191:AQ191" si="92">$C$160*F48</f>
        <v>0</v>
      </c>
      <c r="G191" s="316">
        <f t="shared" si="92"/>
        <v>0</v>
      </c>
      <c r="H191" s="316">
        <f t="shared" si="92"/>
        <v>0</v>
      </c>
      <c r="I191" s="316">
        <f t="shared" si="92"/>
        <v>0</v>
      </c>
      <c r="J191" s="316">
        <f t="shared" si="92"/>
        <v>0</v>
      </c>
      <c r="K191" s="316">
        <f t="shared" si="92"/>
        <v>0</v>
      </c>
      <c r="L191" s="316">
        <f t="shared" si="92"/>
        <v>0</v>
      </c>
      <c r="M191" s="316">
        <f t="shared" si="92"/>
        <v>0</v>
      </c>
      <c r="N191" s="316">
        <f t="shared" si="92"/>
        <v>0</v>
      </c>
      <c r="O191" s="316">
        <f t="shared" si="92"/>
        <v>7500</v>
      </c>
      <c r="P191" s="316">
        <f t="shared" si="92"/>
        <v>0</v>
      </c>
      <c r="Q191" s="316">
        <f t="shared" si="92"/>
        <v>0</v>
      </c>
      <c r="R191" s="316">
        <f t="shared" si="92"/>
        <v>0</v>
      </c>
      <c r="S191" s="316">
        <f t="shared" si="92"/>
        <v>0</v>
      </c>
      <c r="T191" s="316">
        <f t="shared" si="92"/>
        <v>0</v>
      </c>
      <c r="U191" s="316">
        <f t="shared" si="92"/>
        <v>0</v>
      </c>
      <c r="V191" s="316">
        <f t="shared" si="92"/>
        <v>0</v>
      </c>
      <c r="W191" s="316">
        <f t="shared" si="92"/>
        <v>0</v>
      </c>
      <c r="X191" s="316">
        <f t="shared" si="92"/>
        <v>0</v>
      </c>
      <c r="Y191" s="316">
        <f t="shared" si="92"/>
        <v>0</v>
      </c>
      <c r="Z191" s="316">
        <f t="shared" si="92"/>
        <v>0</v>
      </c>
      <c r="AA191" s="316">
        <f t="shared" si="92"/>
        <v>0</v>
      </c>
      <c r="AB191" s="316">
        <f t="shared" si="92"/>
        <v>0</v>
      </c>
      <c r="AC191" s="316">
        <f t="shared" si="92"/>
        <v>0</v>
      </c>
      <c r="AD191" s="316">
        <f t="shared" si="92"/>
        <v>0</v>
      </c>
      <c r="AE191" s="316">
        <f t="shared" si="92"/>
        <v>0</v>
      </c>
      <c r="AF191" s="316">
        <f t="shared" si="92"/>
        <v>0</v>
      </c>
      <c r="AG191" s="316">
        <f t="shared" si="92"/>
        <v>0</v>
      </c>
      <c r="AH191" s="316">
        <f t="shared" si="92"/>
        <v>0</v>
      </c>
      <c r="AI191" s="316">
        <f t="shared" si="92"/>
        <v>0</v>
      </c>
      <c r="AJ191" s="316">
        <f t="shared" si="92"/>
        <v>0</v>
      </c>
      <c r="AK191" s="316">
        <f t="shared" si="92"/>
        <v>0</v>
      </c>
      <c r="AL191" s="316">
        <f t="shared" si="92"/>
        <v>0</v>
      </c>
      <c r="AM191" s="316">
        <f t="shared" si="92"/>
        <v>0</v>
      </c>
      <c r="AN191" s="316">
        <f t="shared" si="92"/>
        <v>0</v>
      </c>
      <c r="AO191" s="316">
        <f t="shared" si="92"/>
        <v>0</v>
      </c>
      <c r="AP191" s="316">
        <f t="shared" si="92"/>
        <v>0</v>
      </c>
      <c r="AQ191" s="316">
        <f t="shared" si="92"/>
        <v>0</v>
      </c>
    </row>
    <row r="192" spans="1:44" s="144" customFormat="1" ht="13.35" customHeight="1">
      <c r="A192" s="124"/>
      <c r="B192" s="142" t="str">
        <f t="shared" si="81"/>
        <v>Clear Creek Family Farm</v>
      </c>
      <c r="C192" s="145">
        <f t="shared" si="81"/>
        <v>200000</v>
      </c>
      <c r="D192" s="322">
        <f t="shared" si="81"/>
        <v>44165</v>
      </c>
      <c r="E192" s="323">
        <f t="shared" si="81"/>
        <v>5</v>
      </c>
      <c r="F192" s="316">
        <f t="shared" ref="F192:AQ192" si="93">$C$160*F49</f>
        <v>0</v>
      </c>
      <c r="G192" s="316">
        <f t="shared" si="93"/>
        <v>0</v>
      </c>
      <c r="H192" s="316">
        <f t="shared" si="93"/>
        <v>0</v>
      </c>
      <c r="I192" s="316">
        <f t="shared" si="93"/>
        <v>0</v>
      </c>
      <c r="J192" s="316">
        <f t="shared" si="93"/>
        <v>0</v>
      </c>
      <c r="K192" s="316">
        <f t="shared" si="93"/>
        <v>0</v>
      </c>
      <c r="L192" s="316">
        <f t="shared" si="93"/>
        <v>0</v>
      </c>
      <c r="M192" s="316">
        <f t="shared" si="93"/>
        <v>0</v>
      </c>
      <c r="N192" s="316">
        <f t="shared" si="93"/>
        <v>0</v>
      </c>
      <c r="O192" s="316">
        <f t="shared" si="93"/>
        <v>0</v>
      </c>
      <c r="P192" s="316">
        <f t="shared" si="93"/>
        <v>6000</v>
      </c>
      <c r="Q192" s="316">
        <f t="shared" si="93"/>
        <v>0</v>
      </c>
      <c r="R192" s="316">
        <f t="shared" si="93"/>
        <v>0</v>
      </c>
      <c r="S192" s="316">
        <f t="shared" si="93"/>
        <v>0</v>
      </c>
      <c r="T192" s="316">
        <f t="shared" si="93"/>
        <v>0</v>
      </c>
      <c r="U192" s="316">
        <f t="shared" si="93"/>
        <v>0</v>
      </c>
      <c r="V192" s="316">
        <f t="shared" si="93"/>
        <v>0</v>
      </c>
      <c r="W192" s="316">
        <f t="shared" si="93"/>
        <v>0</v>
      </c>
      <c r="X192" s="316">
        <f t="shared" si="93"/>
        <v>0</v>
      </c>
      <c r="Y192" s="316">
        <f t="shared" si="93"/>
        <v>0</v>
      </c>
      <c r="Z192" s="316">
        <f t="shared" si="93"/>
        <v>0</v>
      </c>
      <c r="AA192" s="316">
        <f t="shared" si="93"/>
        <v>0</v>
      </c>
      <c r="AB192" s="316">
        <f t="shared" si="93"/>
        <v>0</v>
      </c>
      <c r="AC192" s="316">
        <f t="shared" si="93"/>
        <v>0</v>
      </c>
      <c r="AD192" s="316">
        <f t="shared" si="93"/>
        <v>0</v>
      </c>
      <c r="AE192" s="316">
        <f t="shared" si="93"/>
        <v>0</v>
      </c>
      <c r="AF192" s="316">
        <f t="shared" si="93"/>
        <v>0</v>
      </c>
      <c r="AG192" s="316">
        <f t="shared" si="93"/>
        <v>0</v>
      </c>
      <c r="AH192" s="316">
        <f t="shared" si="93"/>
        <v>0</v>
      </c>
      <c r="AI192" s="316">
        <f t="shared" si="93"/>
        <v>0</v>
      </c>
      <c r="AJ192" s="316">
        <f t="shared" si="93"/>
        <v>0</v>
      </c>
      <c r="AK192" s="316">
        <f t="shared" si="93"/>
        <v>0</v>
      </c>
      <c r="AL192" s="316">
        <f t="shared" si="93"/>
        <v>0</v>
      </c>
      <c r="AM192" s="316">
        <f t="shared" si="93"/>
        <v>0</v>
      </c>
      <c r="AN192" s="316">
        <f t="shared" si="93"/>
        <v>0</v>
      </c>
      <c r="AO192" s="316">
        <f t="shared" si="93"/>
        <v>0</v>
      </c>
      <c r="AP192" s="316">
        <f t="shared" si="93"/>
        <v>0</v>
      </c>
      <c r="AQ192" s="316">
        <f t="shared" si="93"/>
        <v>0</v>
      </c>
    </row>
    <row r="193" spans="1:43" s="144" customFormat="1" ht="13.35" customHeight="1">
      <c r="A193" s="124"/>
      <c r="B193" s="142" t="str">
        <f t="shared" si="81"/>
        <v>Kubed Root</v>
      </c>
      <c r="C193" s="145">
        <f t="shared" si="81"/>
        <v>50000</v>
      </c>
      <c r="D193" s="322">
        <f t="shared" si="81"/>
        <v>44165</v>
      </c>
      <c r="E193" s="323">
        <f t="shared" si="81"/>
        <v>5</v>
      </c>
      <c r="F193" s="316">
        <f t="shared" ref="F193:AQ193" si="94">$C$160*F50</f>
        <v>0</v>
      </c>
      <c r="G193" s="316">
        <f t="shared" si="94"/>
        <v>0</v>
      </c>
      <c r="H193" s="316">
        <f t="shared" si="94"/>
        <v>0</v>
      </c>
      <c r="I193" s="316">
        <f t="shared" si="94"/>
        <v>0</v>
      </c>
      <c r="J193" s="316">
        <f t="shared" si="94"/>
        <v>0</v>
      </c>
      <c r="K193" s="316">
        <f t="shared" si="94"/>
        <v>0</v>
      </c>
      <c r="L193" s="316">
        <f t="shared" si="94"/>
        <v>0</v>
      </c>
      <c r="M193" s="316">
        <f t="shared" si="94"/>
        <v>0</v>
      </c>
      <c r="N193" s="316">
        <f t="shared" si="94"/>
        <v>0</v>
      </c>
      <c r="O193" s="316">
        <f t="shared" si="94"/>
        <v>0</v>
      </c>
      <c r="P193" s="316">
        <f t="shared" si="94"/>
        <v>1500</v>
      </c>
      <c r="Q193" s="316">
        <f t="shared" si="94"/>
        <v>0</v>
      </c>
      <c r="R193" s="316">
        <f t="shared" si="94"/>
        <v>0</v>
      </c>
      <c r="S193" s="316">
        <f t="shared" si="94"/>
        <v>0</v>
      </c>
      <c r="T193" s="316">
        <f t="shared" si="94"/>
        <v>0</v>
      </c>
      <c r="U193" s="316">
        <f t="shared" si="94"/>
        <v>0</v>
      </c>
      <c r="V193" s="316">
        <f t="shared" si="94"/>
        <v>0</v>
      </c>
      <c r="W193" s="316">
        <f t="shared" si="94"/>
        <v>0</v>
      </c>
      <c r="X193" s="316">
        <f t="shared" si="94"/>
        <v>0</v>
      </c>
      <c r="Y193" s="316">
        <f t="shared" si="94"/>
        <v>0</v>
      </c>
      <c r="Z193" s="316">
        <f t="shared" si="94"/>
        <v>0</v>
      </c>
      <c r="AA193" s="316">
        <f t="shared" si="94"/>
        <v>0</v>
      </c>
      <c r="AB193" s="316">
        <f t="shared" si="94"/>
        <v>0</v>
      </c>
      <c r="AC193" s="316">
        <f t="shared" si="94"/>
        <v>0</v>
      </c>
      <c r="AD193" s="316">
        <f t="shared" si="94"/>
        <v>0</v>
      </c>
      <c r="AE193" s="316">
        <f t="shared" si="94"/>
        <v>0</v>
      </c>
      <c r="AF193" s="316">
        <f t="shared" si="94"/>
        <v>0</v>
      </c>
      <c r="AG193" s="316">
        <f t="shared" si="94"/>
        <v>0</v>
      </c>
      <c r="AH193" s="316">
        <f t="shared" si="94"/>
        <v>0</v>
      </c>
      <c r="AI193" s="316">
        <f t="shared" si="94"/>
        <v>0</v>
      </c>
      <c r="AJ193" s="316">
        <f t="shared" si="94"/>
        <v>0</v>
      </c>
      <c r="AK193" s="316">
        <f t="shared" si="94"/>
        <v>0</v>
      </c>
      <c r="AL193" s="316">
        <f t="shared" si="94"/>
        <v>0</v>
      </c>
      <c r="AM193" s="316">
        <f t="shared" si="94"/>
        <v>0</v>
      </c>
      <c r="AN193" s="316">
        <f t="shared" si="94"/>
        <v>0</v>
      </c>
      <c r="AO193" s="316">
        <f t="shared" si="94"/>
        <v>0</v>
      </c>
      <c r="AP193" s="316">
        <f t="shared" si="94"/>
        <v>0</v>
      </c>
      <c r="AQ193" s="316">
        <f t="shared" si="94"/>
        <v>0</v>
      </c>
    </row>
    <row r="194" spans="1:43" s="144" customFormat="1" ht="13.35" customHeight="1">
      <c r="A194" s="124"/>
      <c r="B194" s="142" t="str">
        <f t="shared" si="81"/>
        <v>Sierra Valley Farm</v>
      </c>
      <c r="C194" s="145">
        <f t="shared" si="81"/>
        <v>0</v>
      </c>
      <c r="D194" s="322">
        <f t="shared" si="81"/>
        <v>44196</v>
      </c>
      <c r="E194" s="323">
        <f t="shared" si="81"/>
        <v>5</v>
      </c>
      <c r="F194" s="316">
        <f t="shared" ref="F194:AQ194" si="95">$C$160*F51</f>
        <v>0</v>
      </c>
      <c r="G194" s="316">
        <f t="shared" si="95"/>
        <v>0</v>
      </c>
      <c r="H194" s="316">
        <f t="shared" si="95"/>
        <v>0</v>
      </c>
      <c r="I194" s="316">
        <f t="shared" si="95"/>
        <v>0</v>
      </c>
      <c r="J194" s="316">
        <f t="shared" si="95"/>
        <v>0</v>
      </c>
      <c r="K194" s="316">
        <f t="shared" si="95"/>
        <v>0</v>
      </c>
      <c r="L194" s="316">
        <f t="shared" si="95"/>
        <v>0</v>
      </c>
      <c r="M194" s="316">
        <f t="shared" si="95"/>
        <v>0</v>
      </c>
      <c r="N194" s="316">
        <f t="shared" si="95"/>
        <v>0</v>
      </c>
      <c r="O194" s="316">
        <f t="shared" si="95"/>
        <v>0</v>
      </c>
      <c r="P194" s="316">
        <f t="shared" si="95"/>
        <v>0</v>
      </c>
      <c r="Q194" s="316">
        <f t="shared" si="95"/>
        <v>0</v>
      </c>
      <c r="R194" s="316">
        <f t="shared" si="95"/>
        <v>0</v>
      </c>
      <c r="S194" s="316">
        <f t="shared" si="95"/>
        <v>0</v>
      </c>
      <c r="T194" s="316">
        <f t="shared" si="95"/>
        <v>0</v>
      </c>
      <c r="U194" s="316">
        <f t="shared" si="95"/>
        <v>0</v>
      </c>
      <c r="V194" s="316">
        <f t="shared" si="95"/>
        <v>0</v>
      </c>
      <c r="W194" s="316">
        <f t="shared" si="95"/>
        <v>0</v>
      </c>
      <c r="X194" s="316">
        <f t="shared" si="95"/>
        <v>0</v>
      </c>
      <c r="Y194" s="316">
        <f t="shared" si="95"/>
        <v>0</v>
      </c>
      <c r="Z194" s="316">
        <f t="shared" si="95"/>
        <v>0</v>
      </c>
      <c r="AA194" s="316">
        <f t="shared" si="95"/>
        <v>0</v>
      </c>
      <c r="AB194" s="316">
        <f t="shared" si="95"/>
        <v>0</v>
      </c>
      <c r="AC194" s="316">
        <f t="shared" si="95"/>
        <v>0</v>
      </c>
      <c r="AD194" s="316">
        <f t="shared" si="95"/>
        <v>0</v>
      </c>
      <c r="AE194" s="316">
        <f t="shared" si="95"/>
        <v>0</v>
      </c>
      <c r="AF194" s="316">
        <f t="shared" si="95"/>
        <v>0</v>
      </c>
      <c r="AG194" s="316">
        <f t="shared" si="95"/>
        <v>0</v>
      </c>
      <c r="AH194" s="316">
        <f t="shared" si="95"/>
        <v>0</v>
      </c>
      <c r="AI194" s="316">
        <f t="shared" si="95"/>
        <v>0</v>
      </c>
      <c r="AJ194" s="316">
        <f t="shared" si="95"/>
        <v>0</v>
      </c>
      <c r="AK194" s="316">
        <f t="shared" si="95"/>
        <v>0</v>
      </c>
      <c r="AL194" s="316">
        <f t="shared" si="95"/>
        <v>0</v>
      </c>
      <c r="AM194" s="316">
        <f t="shared" si="95"/>
        <v>0</v>
      </c>
      <c r="AN194" s="316">
        <f t="shared" si="95"/>
        <v>0</v>
      </c>
      <c r="AO194" s="316">
        <f t="shared" si="95"/>
        <v>0</v>
      </c>
      <c r="AP194" s="316">
        <f t="shared" si="95"/>
        <v>0</v>
      </c>
      <c r="AQ194" s="316">
        <f t="shared" si="95"/>
        <v>0</v>
      </c>
    </row>
    <row r="195" spans="1:43" s="144" customFormat="1" ht="13.35" customHeight="1">
      <c r="A195" t="s">
        <v>47</v>
      </c>
      <c r="B195" s="306" t="str">
        <f>B120</f>
        <v>2020 New Loans in Final Stage of Due Diligence as of February 29, 2020</v>
      </c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306"/>
      <c r="AQ195" s="330"/>
    </row>
    <row r="196" spans="1:43" s="144" customFormat="1" ht="13.35" customHeight="1">
      <c r="A196" s="124"/>
      <c r="B196" s="142" t="str">
        <f>B121</f>
        <v>By George</v>
      </c>
      <c r="C196" s="145">
        <f t="shared" ref="C196:E199" si="96">C121</f>
        <v>1000000</v>
      </c>
      <c r="D196" s="322">
        <f t="shared" si="96"/>
        <v>44043</v>
      </c>
      <c r="E196" s="323">
        <f t="shared" si="96"/>
        <v>5</v>
      </c>
      <c r="F196" s="316">
        <f t="shared" ref="F196:AQ196" si="97">$C$160*F53</f>
        <v>0</v>
      </c>
      <c r="G196" s="316">
        <f t="shared" si="97"/>
        <v>0</v>
      </c>
      <c r="H196" s="316">
        <f t="shared" si="97"/>
        <v>0</v>
      </c>
      <c r="I196" s="316">
        <f t="shared" si="97"/>
        <v>0</v>
      </c>
      <c r="J196" s="316">
        <f t="shared" si="97"/>
        <v>0</v>
      </c>
      <c r="K196" s="316">
        <f t="shared" si="97"/>
        <v>0</v>
      </c>
      <c r="L196" s="316">
        <f t="shared" si="97"/>
        <v>30000</v>
      </c>
      <c r="M196" s="316">
        <f t="shared" si="97"/>
        <v>0</v>
      </c>
      <c r="N196" s="316">
        <f t="shared" si="97"/>
        <v>0</v>
      </c>
      <c r="O196" s="316">
        <f t="shared" si="97"/>
        <v>0</v>
      </c>
      <c r="P196" s="316">
        <f t="shared" si="97"/>
        <v>0</v>
      </c>
      <c r="Q196" s="316">
        <f t="shared" si="97"/>
        <v>0</v>
      </c>
      <c r="R196" s="316">
        <f t="shared" si="97"/>
        <v>0</v>
      </c>
      <c r="S196" s="316">
        <f t="shared" si="97"/>
        <v>0</v>
      </c>
      <c r="T196" s="316">
        <f t="shared" si="97"/>
        <v>0</v>
      </c>
      <c r="U196" s="316">
        <f t="shared" si="97"/>
        <v>0</v>
      </c>
      <c r="V196" s="316">
        <f t="shared" si="97"/>
        <v>0</v>
      </c>
      <c r="W196" s="316">
        <f t="shared" si="97"/>
        <v>0</v>
      </c>
      <c r="X196" s="316">
        <f t="shared" si="97"/>
        <v>0</v>
      </c>
      <c r="Y196" s="316">
        <f t="shared" si="97"/>
        <v>0</v>
      </c>
      <c r="Z196" s="316">
        <f t="shared" si="97"/>
        <v>0</v>
      </c>
      <c r="AA196" s="316">
        <f t="shared" si="97"/>
        <v>0</v>
      </c>
      <c r="AB196" s="316">
        <f t="shared" si="97"/>
        <v>0</v>
      </c>
      <c r="AC196" s="316">
        <f t="shared" si="97"/>
        <v>0</v>
      </c>
      <c r="AD196" s="316">
        <f t="shared" si="97"/>
        <v>0</v>
      </c>
      <c r="AE196" s="316">
        <f t="shared" si="97"/>
        <v>0</v>
      </c>
      <c r="AF196" s="316">
        <f t="shared" si="97"/>
        <v>0</v>
      </c>
      <c r="AG196" s="316">
        <f t="shared" si="97"/>
        <v>0</v>
      </c>
      <c r="AH196" s="316">
        <f t="shared" si="97"/>
        <v>0</v>
      </c>
      <c r="AI196" s="316">
        <f t="shared" si="97"/>
        <v>0</v>
      </c>
      <c r="AJ196" s="316">
        <f t="shared" si="97"/>
        <v>0</v>
      </c>
      <c r="AK196" s="316">
        <f t="shared" si="97"/>
        <v>0</v>
      </c>
      <c r="AL196" s="316">
        <f t="shared" si="97"/>
        <v>0</v>
      </c>
      <c r="AM196" s="316">
        <f t="shared" si="97"/>
        <v>0</v>
      </c>
      <c r="AN196" s="316">
        <f t="shared" si="97"/>
        <v>0</v>
      </c>
      <c r="AO196" s="316">
        <f t="shared" si="97"/>
        <v>0</v>
      </c>
      <c r="AP196" s="316">
        <f t="shared" si="97"/>
        <v>0</v>
      </c>
      <c r="AQ196" s="316">
        <f t="shared" si="97"/>
        <v>0</v>
      </c>
    </row>
    <row r="197" spans="1:43" s="144" customFormat="1" ht="13.35" customHeight="1">
      <c r="A197" s="124"/>
      <c r="B197" s="142" t="str">
        <f>B122</f>
        <v>Nehalem</v>
      </c>
      <c r="C197" s="145">
        <f t="shared" si="96"/>
        <v>1000000</v>
      </c>
      <c r="D197" s="322">
        <f t="shared" si="96"/>
        <v>44104</v>
      </c>
      <c r="E197" s="323">
        <f t="shared" si="96"/>
        <v>5</v>
      </c>
      <c r="F197" s="316">
        <f t="shared" ref="F197:AQ197" si="98">$C$160*F54</f>
        <v>0</v>
      </c>
      <c r="G197" s="316">
        <f t="shared" si="98"/>
        <v>0</v>
      </c>
      <c r="H197" s="316">
        <f t="shared" si="98"/>
        <v>0</v>
      </c>
      <c r="I197" s="316">
        <f t="shared" si="98"/>
        <v>0</v>
      </c>
      <c r="J197" s="316">
        <f t="shared" si="98"/>
        <v>0</v>
      </c>
      <c r="K197" s="316">
        <f t="shared" si="98"/>
        <v>0</v>
      </c>
      <c r="L197" s="316">
        <f t="shared" si="98"/>
        <v>0</v>
      </c>
      <c r="M197" s="316">
        <f t="shared" si="98"/>
        <v>0</v>
      </c>
      <c r="N197" s="316">
        <f t="shared" si="98"/>
        <v>30000</v>
      </c>
      <c r="O197" s="316">
        <f t="shared" si="98"/>
        <v>0</v>
      </c>
      <c r="P197" s="316">
        <f t="shared" si="98"/>
        <v>0</v>
      </c>
      <c r="Q197" s="316">
        <f t="shared" si="98"/>
        <v>0</v>
      </c>
      <c r="R197" s="316">
        <f t="shared" si="98"/>
        <v>0</v>
      </c>
      <c r="S197" s="316">
        <f t="shared" si="98"/>
        <v>0</v>
      </c>
      <c r="T197" s="316">
        <f t="shared" si="98"/>
        <v>0</v>
      </c>
      <c r="U197" s="316">
        <f t="shared" si="98"/>
        <v>0</v>
      </c>
      <c r="V197" s="316">
        <f t="shared" si="98"/>
        <v>0</v>
      </c>
      <c r="W197" s="316">
        <f t="shared" si="98"/>
        <v>0</v>
      </c>
      <c r="X197" s="316">
        <f t="shared" si="98"/>
        <v>0</v>
      </c>
      <c r="Y197" s="316">
        <f t="shared" si="98"/>
        <v>0</v>
      </c>
      <c r="Z197" s="316">
        <f t="shared" si="98"/>
        <v>0</v>
      </c>
      <c r="AA197" s="316">
        <f t="shared" si="98"/>
        <v>0</v>
      </c>
      <c r="AB197" s="316">
        <f t="shared" si="98"/>
        <v>0</v>
      </c>
      <c r="AC197" s="316">
        <f t="shared" si="98"/>
        <v>0</v>
      </c>
      <c r="AD197" s="316">
        <f t="shared" si="98"/>
        <v>0</v>
      </c>
      <c r="AE197" s="316">
        <f t="shared" si="98"/>
        <v>0</v>
      </c>
      <c r="AF197" s="316">
        <f t="shared" si="98"/>
        <v>0</v>
      </c>
      <c r="AG197" s="316">
        <f t="shared" si="98"/>
        <v>0</v>
      </c>
      <c r="AH197" s="316">
        <f t="shared" si="98"/>
        <v>0</v>
      </c>
      <c r="AI197" s="316">
        <f t="shared" si="98"/>
        <v>0</v>
      </c>
      <c r="AJ197" s="316">
        <f t="shared" si="98"/>
        <v>0</v>
      </c>
      <c r="AK197" s="316">
        <f t="shared" si="98"/>
        <v>0</v>
      </c>
      <c r="AL197" s="316">
        <f t="shared" si="98"/>
        <v>0</v>
      </c>
      <c r="AM197" s="316">
        <f t="shared" si="98"/>
        <v>0</v>
      </c>
      <c r="AN197" s="316">
        <f t="shared" si="98"/>
        <v>0</v>
      </c>
      <c r="AO197" s="316">
        <f t="shared" si="98"/>
        <v>0</v>
      </c>
      <c r="AP197" s="316">
        <f t="shared" si="98"/>
        <v>0</v>
      </c>
      <c r="AQ197" s="316">
        <f t="shared" si="98"/>
        <v>0</v>
      </c>
    </row>
    <row r="198" spans="1:43" s="144" customFormat="1" ht="13.35" customHeight="1">
      <c r="A198" s="124"/>
      <c r="B198" s="142" t="str">
        <f>B123</f>
        <v>Grand Isle Sea Farms</v>
      </c>
      <c r="C198" s="145">
        <f t="shared" si="96"/>
        <v>1000000</v>
      </c>
      <c r="D198" s="322">
        <f t="shared" si="96"/>
        <v>44135</v>
      </c>
      <c r="E198" s="323">
        <f t="shared" si="96"/>
        <v>5</v>
      </c>
      <c r="F198" s="316">
        <f t="shared" ref="F198:AQ198" si="99">$C$160*F55</f>
        <v>0</v>
      </c>
      <c r="G198" s="316">
        <f t="shared" si="99"/>
        <v>0</v>
      </c>
      <c r="H198" s="316">
        <f t="shared" si="99"/>
        <v>0</v>
      </c>
      <c r="I198" s="316">
        <f t="shared" si="99"/>
        <v>0</v>
      </c>
      <c r="J198" s="316">
        <f t="shared" si="99"/>
        <v>0</v>
      </c>
      <c r="K198" s="316">
        <f t="shared" si="99"/>
        <v>0</v>
      </c>
      <c r="L198" s="316">
        <f t="shared" si="99"/>
        <v>0</v>
      </c>
      <c r="M198" s="316">
        <f t="shared" si="99"/>
        <v>0</v>
      </c>
      <c r="N198" s="316">
        <f t="shared" si="99"/>
        <v>0</v>
      </c>
      <c r="O198" s="316">
        <f t="shared" si="99"/>
        <v>30000</v>
      </c>
      <c r="P198" s="316">
        <f t="shared" si="99"/>
        <v>0</v>
      </c>
      <c r="Q198" s="316">
        <f t="shared" si="99"/>
        <v>0</v>
      </c>
      <c r="R198" s="316">
        <f t="shared" si="99"/>
        <v>0</v>
      </c>
      <c r="S198" s="316">
        <f t="shared" si="99"/>
        <v>0</v>
      </c>
      <c r="T198" s="316">
        <f t="shared" si="99"/>
        <v>0</v>
      </c>
      <c r="U198" s="316">
        <f t="shared" si="99"/>
        <v>0</v>
      </c>
      <c r="V198" s="316">
        <f t="shared" si="99"/>
        <v>0</v>
      </c>
      <c r="W198" s="316">
        <f t="shared" si="99"/>
        <v>0</v>
      </c>
      <c r="X198" s="316">
        <f t="shared" si="99"/>
        <v>0</v>
      </c>
      <c r="Y198" s="316">
        <f t="shared" si="99"/>
        <v>0</v>
      </c>
      <c r="Z198" s="316">
        <f t="shared" si="99"/>
        <v>0</v>
      </c>
      <c r="AA198" s="316">
        <f t="shared" si="99"/>
        <v>0</v>
      </c>
      <c r="AB198" s="316">
        <f t="shared" si="99"/>
        <v>0</v>
      </c>
      <c r="AC198" s="316">
        <f t="shared" si="99"/>
        <v>0</v>
      </c>
      <c r="AD198" s="316">
        <f t="shared" si="99"/>
        <v>0</v>
      </c>
      <c r="AE198" s="316">
        <f t="shared" si="99"/>
        <v>0</v>
      </c>
      <c r="AF198" s="316">
        <f t="shared" si="99"/>
        <v>0</v>
      </c>
      <c r="AG198" s="316">
        <f t="shared" si="99"/>
        <v>0</v>
      </c>
      <c r="AH198" s="316">
        <f t="shared" si="99"/>
        <v>0</v>
      </c>
      <c r="AI198" s="316">
        <f t="shared" si="99"/>
        <v>0</v>
      </c>
      <c r="AJ198" s="316">
        <f t="shared" si="99"/>
        <v>0</v>
      </c>
      <c r="AK198" s="316">
        <f t="shared" si="99"/>
        <v>0</v>
      </c>
      <c r="AL198" s="316">
        <f t="shared" si="99"/>
        <v>0</v>
      </c>
      <c r="AM198" s="316">
        <f t="shared" si="99"/>
        <v>0</v>
      </c>
      <c r="AN198" s="316">
        <f t="shared" si="99"/>
        <v>0</v>
      </c>
      <c r="AO198" s="316">
        <f t="shared" si="99"/>
        <v>0</v>
      </c>
      <c r="AP198" s="316">
        <f t="shared" si="99"/>
        <v>0</v>
      </c>
      <c r="AQ198" s="316">
        <f t="shared" si="99"/>
        <v>0</v>
      </c>
    </row>
    <row r="199" spans="1:43" s="144" customFormat="1" ht="13.35" customHeight="1">
      <c r="A199" s="124"/>
      <c r="B199" s="142" t="str">
        <f>B124</f>
        <v>North Bridger Bison</v>
      </c>
      <c r="C199" s="145">
        <f t="shared" si="96"/>
        <v>500000</v>
      </c>
      <c r="D199" s="322">
        <f t="shared" si="96"/>
        <v>44165</v>
      </c>
      <c r="E199" s="323">
        <f t="shared" si="96"/>
        <v>5</v>
      </c>
      <c r="F199" s="316">
        <f t="shared" ref="F199:AQ199" si="100">$C$160*F56</f>
        <v>0</v>
      </c>
      <c r="G199" s="316">
        <f t="shared" si="100"/>
        <v>0</v>
      </c>
      <c r="H199" s="316">
        <f t="shared" si="100"/>
        <v>0</v>
      </c>
      <c r="I199" s="316">
        <f t="shared" si="100"/>
        <v>0</v>
      </c>
      <c r="J199" s="316">
        <f t="shared" si="100"/>
        <v>0</v>
      </c>
      <c r="K199" s="316">
        <f t="shared" si="100"/>
        <v>0</v>
      </c>
      <c r="L199" s="316">
        <f t="shared" si="100"/>
        <v>0</v>
      </c>
      <c r="M199" s="316">
        <f t="shared" si="100"/>
        <v>0</v>
      </c>
      <c r="N199" s="316">
        <f t="shared" si="100"/>
        <v>0</v>
      </c>
      <c r="O199" s="316">
        <f t="shared" si="100"/>
        <v>0</v>
      </c>
      <c r="P199" s="316">
        <f t="shared" si="100"/>
        <v>15000</v>
      </c>
      <c r="Q199" s="316">
        <f t="shared" si="100"/>
        <v>0</v>
      </c>
      <c r="R199" s="316">
        <f t="shared" si="100"/>
        <v>0</v>
      </c>
      <c r="S199" s="316">
        <f t="shared" si="100"/>
        <v>0</v>
      </c>
      <c r="T199" s="316">
        <f t="shared" si="100"/>
        <v>0</v>
      </c>
      <c r="U199" s="316">
        <f t="shared" si="100"/>
        <v>0</v>
      </c>
      <c r="V199" s="316">
        <f t="shared" si="100"/>
        <v>0</v>
      </c>
      <c r="W199" s="316">
        <f t="shared" si="100"/>
        <v>0</v>
      </c>
      <c r="X199" s="316">
        <f t="shared" si="100"/>
        <v>0</v>
      </c>
      <c r="Y199" s="316">
        <f t="shared" si="100"/>
        <v>0</v>
      </c>
      <c r="Z199" s="316">
        <f t="shared" si="100"/>
        <v>0</v>
      </c>
      <c r="AA199" s="316">
        <f t="shared" si="100"/>
        <v>0</v>
      </c>
      <c r="AB199" s="316">
        <f t="shared" si="100"/>
        <v>0</v>
      </c>
      <c r="AC199" s="316">
        <f t="shared" si="100"/>
        <v>0</v>
      </c>
      <c r="AD199" s="316">
        <f t="shared" si="100"/>
        <v>0</v>
      </c>
      <c r="AE199" s="316">
        <f t="shared" si="100"/>
        <v>0</v>
      </c>
      <c r="AF199" s="316">
        <f t="shared" si="100"/>
        <v>0</v>
      </c>
      <c r="AG199" s="316">
        <f t="shared" si="100"/>
        <v>0</v>
      </c>
      <c r="AH199" s="316">
        <f t="shared" si="100"/>
        <v>0</v>
      </c>
      <c r="AI199" s="316">
        <f t="shared" si="100"/>
        <v>0</v>
      </c>
      <c r="AJ199" s="316">
        <f t="shared" si="100"/>
        <v>0</v>
      </c>
      <c r="AK199" s="316">
        <f t="shared" si="100"/>
        <v>0</v>
      </c>
      <c r="AL199" s="316">
        <f t="shared" si="100"/>
        <v>0</v>
      </c>
      <c r="AM199" s="316">
        <f t="shared" si="100"/>
        <v>0</v>
      </c>
      <c r="AN199" s="316">
        <f t="shared" si="100"/>
        <v>0</v>
      </c>
      <c r="AO199" s="316">
        <f t="shared" si="100"/>
        <v>0</v>
      </c>
      <c r="AP199" s="316">
        <f t="shared" si="100"/>
        <v>0</v>
      </c>
      <c r="AQ199" s="316">
        <f t="shared" si="100"/>
        <v>0</v>
      </c>
    </row>
    <row r="200" spans="1:43" s="144" customFormat="1" ht="13.35" hidden="1" customHeight="1" outlineLevel="1">
      <c r="A200" s="124"/>
      <c r="B200" s="142" t="str">
        <f t="shared" ref="B200:B215" si="101">B125</f>
        <v>[OTHER] FOR FUTURE INTERNAL BUDGETING PURPOSES</v>
      </c>
      <c r="C200" s="145">
        <f t="shared" ref="C200:E215" si="102">C125</f>
        <v>0</v>
      </c>
      <c r="D200" s="322">
        <f t="shared" si="102"/>
        <v>0</v>
      </c>
      <c r="E200" s="323">
        <f t="shared" si="102"/>
        <v>5</v>
      </c>
      <c r="F200" s="316">
        <f t="shared" ref="F200:AQ200" si="103">$C$160*F57</f>
        <v>0</v>
      </c>
      <c r="G200" s="316">
        <f t="shared" si="103"/>
        <v>0</v>
      </c>
      <c r="H200" s="316">
        <f t="shared" si="103"/>
        <v>0</v>
      </c>
      <c r="I200" s="316">
        <f t="shared" si="103"/>
        <v>0</v>
      </c>
      <c r="J200" s="316">
        <f t="shared" si="103"/>
        <v>0</v>
      </c>
      <c r="K200" s="316">
        <f t="shared" si="103"/>
        <v>0</v>
      </c>
      <c r="L200" s="316">
        <f t="shared" si="103"/>
        <v>0</v>
      </c>
      <c r="M200" s="316">
        <f t="shared" si="103"/>
        <v>0</v>
      </c>
      <c r="N200" s="316">
        <f t="shared" si="103"/>
        <v>0</v>
      </c>
      <c r="O200" s="316">
        <f t="shared" si="103"/>
        <v>0</v>
      </c>
      <c r="P200" s="316">
        <f t="shared" si="103"/>
        <v>0</v>
      </c>
      <c r="Q200" s="316">
        <f t="shared" si="103"/>
        <v>0</v>
      </c>
      <c r="R200" s="316">
        <f t="shared" si="103"/>
        <v>0</v>
      </c>
      <c r="S200" s="316">
        <f t="shared" si="103"/>
        <v>0</v>
      </c>
      <c r="T200" s="316">
        <f t="shared" si="103"/>
        <v>0</v>
      </c>
      <c r="U200" s="316">
        <f t="shared" si="103"/>
        <v>0</v>
      </c>
      <c r="V200" s="316">
        <f t="shared" si="103"/>
        <v>0</v>
      </c>
      <c r="W200" s="316">
        <f t="shared" si="103"/>
        <v>0</v>
      </c>
      <c r="X200" s="316">
        <f t="shared" si="103"/>
        <v>0</v>
      </c>
      <c r="Y200" s="316">
        <f t="shared" si="103"/>
        <v>0</v>
      </c>
      <c r="Z200" s="316">
        <f t="shared" si="103"/>
        <v>0</v>
      </c>
      <c r="AA200" s="316">
        <f t="shared" si="103"/>
        <v>0</v>
      </c>
      <c r="AB200" s="316">
        <f t="shared" si="103"/>
        <v>0</v>
      </c>
      <c r="AC200" s="316">
        <f t="shared" si="103"/>
        <v>0</v>
      </c>
      <c r="AD200" s="316">
        <f t="shared" si="103"/>
        <v>0</v>
      </c>
      <c r="AE200" s="316">
        <f t="shared" si="103"/>
        <v>0</v>
      </c>
      <c r="AF200" s="316">
        <f t="shared" si="103"/>
        <v>0</v>
      </c>
      <c r="AG200" s="316">
        <f t="shared" si="103"/>
        <v>0</v>
      </c>
      <c r="AH200" s="316">
        <f t="shared" si="103"/>
        <v>0</v>
      </c>
      <c r="AI200" s="316">
        <f t="shared" si="103"/>
        <v>0</v>
      </c>
      <c r="AJ200" s="316">
        <f t="shared" si="103"/>
        <v>0</v>
      </c>
      <c r="AK200" s="316">
        <f t="shared" si="103"/>
        <v>0</v>
      </c>
      <c r="AL200" s="316">
        <f t="shared" si="103"/>
        <v>0</v>
      </c>
      <c r="AM200" s="316">
        <f t="shared" si="103"/>
        <v>0</v>
      </c>
      <c r="AN200" s="316">
        <f t="shared" si="103"/>
        <v>0</v>
      </c>
      <c r="AO200" s="316">
        <f t="shared" si="103"/>
        <v>0</v>
      </c>
      <c r="AP200" s="316">
        <f t="shared" si="103"/>
        <v>0</v>
      </c>
      <c r="AQ200" s="316">
        <f t="shared" si="103"/>
        <v>0</v>
      </c>
    </row>
    <row r="201" spans="1:43" s="144" customFormat="1" ht="13.35" hidden="1" customHeight="1" outlineLevel="1">
      <c r="A201" s="124"/>
      <c r="B201" s="142" t="str">
        <f t="shared" si="101"/>
        <v>[OTHER] FOR FUTURE INTERNAL BUDGETING PURPOSES</v>
      </c>
      <c r="C201" s="145">
        <f t="shared" si="102"/>
        <v>0</v>
      </c>
      <c r="D201" s="322">
        <f t="shared" si="102"/>
        <v>0</v>
      </c>
      <c r="E201" s="323">
        <f t="shared" si="102"/>
        <v>5</v>
      </c>
      <c r="F201" s="316">
        <f t="shared" ref="F201:AQ201" si="104">$C$160*F58</f>
        <v>0</v>
      </c>
      <c r="G201" s="316">
        <f t="shared" si="104"/>
        <v>0</v>
      </c>
      <c r="H201" s="316">
        <f t="shared" si="104"/>
        <v>0</v>
      </c>
      <c r="I201" s="316">
        <f t="shared" si="104"/>
        <v>0</v>
      </c>
      <c r="J201" s="316">
        <f t="shared" si="104"/>
        <v>0</v>
      </c>
      <c r="K201" s="316">
        <f t="shared" si="104"/>
        <v>0</v>
      </c>
      <c r="L201" s="316">
        <f t="shared" si="104"/>
        <v>0</v>
      </c>
      <c r="M201" s="316">
        <f t="shared" si="104"/>
        <v>0</v>
      </c>
      <c r="N201" s="316">
        <f t="shared" si="104"/>
        <v>0</v>
      </c>
      <c r="O201" s="316">
        <f t="shared" si="104"/>
        <v>0</v>
      </c>
      <c r="P201" s="316">
        <f t="shared" si="104"/>
        <v>0</v>
      </c>
      <c r="Q201" s="316">
        <f t="shared" si="104"/>
        <v>0</v>
      </c>
      <c r="R201" s="316">
        <f t="shared" si="104"/>
        <v>0</v>
      </c>
      <c r="S201" s="316">
        <f t="shared" si="104"/>
        <v>0</v>
      </c>
      <c r="T201" s="316">
        <f t="shared" si="104"/>
        <v>0</v>
      </c>
      <c r="U201" s="316">
        <f t="shared" si="104"/>
        <v>0</v>
      </c>
      <c r="V201" s="316">
        <f t="shared" si="104"/>
        <v>0</v>
      </c>
      <c r="W201" s="316">
        <f t="shared" si="104"/>
        <v>0</v>
      </c>
      <c r="X201" s="316">
        <f t="shared" si="104"/>
        <v>0</v>
      </c>
      <c r="Y201" s="316">
        <f t="shared" si="104"/>
        <v>0</v>
      </c>
      <c r="Z201" s="316">
        <f t="shared" si="104"/>
        <v>0</v>
      </c>
      <c r="AA201" s="316">
        <f t="shared" si="104"/>
        <v>0</v>
      </c>
      <c r="AB201" s="316">
        <f t="shared" si="104"/>
        <v>0</v>
      </c>
      <c r="AC201" s="316">
        <f t="shared" si="104"/>
        <v>0</v>
      </c>
      <c r="AD201" s="316">
        <f t="shared" si="104"/>
        <v>0</v>
      </c>
      <c r="AE201" s="316">
        <f t="shared" si="104"/>
        <v>0</v>
      </c>
      <c r="AF201" s="316">
        <f t="shared" si="104"/>
        <v>0</v>
      </c>
      <c r="AG201" s="316">
        <f t="shared" si="104"/>
        <v>0</v>
      </c>
      <c r="AH201" s="316">
        <f t="shared" si="104"/>
        <v>0</v>
      </c>
      <c r="AI201" s="316">
        <f t="shared" si="104"/>
        <v>0</v>
      </c>
      <c r="AJ201" s="316">
        <f t="shared" si="104"/>
        <v>0</v>
      </c>
      <c r="AK201" s="316">
        <f t="shared" si="104"/>
        <v>0</v>
      </c>
      <c r="AL201" s="316">
        <f t="shared" si="104"/>
        <v>0</v>
      </c>
      <c r="AM201" s="316">
        <f t="shared" si="104"/>
        <v>0</v>
      </c>
      <c r="AN201" s="316">
        <f t="shared" si="104"/>
        <v>0</v>
      </c>
      <c r="AO201" s="316">
        <f t="shared" si="104"/>
        <v>0</v>
      </c>
      <c r="AP201" s="316">
        <f t="shared" si="104"/>
        <v>0</v>
      </c>
      <c r="AQ201" s="316">
        <f t="shared" si="104"/>
        <v>0</v>
      </c>
    </row>
    <row r="202" spans="1:43" s="144" customFormat="1" ht="13.35" hidden="1" customHeight="1" outlineLevel="1">
      <c r="A202" s="124"/>
      <c r="B202" s="142" t="str">
        <f t="shared" si="101"/>
        <v>[OTHER] FOR FUTURE INTERNAL BUDGETING PURPOSES</v>
      </c>
      <c r="C202" s="145">
        <f t="shared" si="102"/>
        <v>0</v>
      </c>
      <c r="D202" s="322">
        <f t="shared" si="102"/>
        <v>0</v>
      </c>
      <c r="E202" s="323">
        <f t="shared" si="102"/>
        <v>5</v>
      </c>
      <c r="F202" s="316">
        <f t="shared" ref="F202:AQ202" si="105">$C$160*F59</f>
        <v>0</v>
      </c>
      <c r="G202" s="316">
        <f t="shared" si="105"/>
        <v>0</v>
      </c>
      <c r="H202" s="316">
        <f t="shared" si="105"/>
        <v>0</v>
      </c>
      <c r="I202" s="316">
        <f t="shared" si="105"/>
        <v>0</v>
      </c>
      <c r="J202" s="316">
        <f t="shared" si="105"/>
        <v>0</v>
      </c>
      <c r="K202" s="316">
        <f t="shared" si="105"/>
        <v>0</v>
      </c>
      <c r="L202" s="316">
        <f t="shared" si="105"/>
        <v>0</v>
      </c>
      <c r="M202" s="316">
        <f t="shared" si="105"/>
        <v>0</v>
      </c>
      <c r="N202" s="316">
        <f t="shared" si="105"/>
        <v>0</v>
      </c>
      <c r="O202" s="316">
        <f t="shared" si="105"/>
        <v>0</v>
      </c>
      <c r="P202" s="316">
        <f t="shared" si="105"/>
        <v>0</v>
      </c>
      <c r="Q202" s="316">
        <f t="shared" si="105"/>
        <v>0</v>
      </c>
      <c r="R202" s="316">
        <f t="shared" si="105"/>
        <v>0</v>
      </c>
      <c r="S202" s="316">
        <f t="shared" si="105"/>
        <v>0</v>
      </c>
      <c r="T202" s="316">
        <f t="shared" si="105"/>
        <v>0</v>
      </c>
      <c r="U202" s="316">
        <f t="shared" si="105"/>
        <v>0</v>
      </c>
      <c r="V202" s="316">
        <f t="shared" si="105"/>
        <v>0</v>
      </c>
      <c r="W202" s="316">
        <f t="shared" si="105"/>
        <v>0</v>
      </c>
      <c r="X202" s="316">
        <f t="shared" si="105"/>
        <v>0</v>
      </c>
      <c r="Y202" s="316">
        <f t="shared" si="105"/>
        <v>0</v>
      </c>
      <c r="Z202" s="316">
        <f t="shared" si="105"/>
        <v>0</v>
      </c>
      <c r="AA202" s="316">
        <f t="shared" si="105"/>
        <v>0</v>
      </c>
      <c r="AB202" s="316">
        <f t="shared" si="105"/>
        <v>0</v>
      </c>
      <c r="AC202" s="316">
        <f t="shared" si="105"/>
        <v>0</v>
      </c>
      <c r="AD202" s="316">
        <f t="shared" si="105"/>
        <v>0</v>
      </c>
      <c r="AE202" s="316">
        <f t="shared" si="105"/>
        <v>0</v>
      </c>
      <c r="AF202" s="316">
        <f t="shared" si="105"/>
        <v>0</v>
      </c>
      <c r="AG202" s="316">
        <f t="shared" si="105"/>
        <v>0</v>
      </c>
      <c r="AH202" s="316">
        <f t="shared" si="105"/>
        <v>0</v>
      </c>
      <c r="AI202" s="316">
        <f t="shared" si="105"/>
        <v>0</v>
      </c>
      <c r="AJ202" s="316">
        <f t="shared" si="105"/>
        <v>0</v>
      </c>
      <c r="AK202" s="316">
        <f t="shared" si="105"/>
        <v>0</v>
      </c>
      <c r="AL202" s="316">
        <f t="shared" si="105"/>
        <v>0</v>
      </c>
      <c r="AM202" s="316">
        <f t="shared" si="105"/>
        <v>0</v>
      </c>
      <c r="AN202" s="316">
        <f t="shared" si="105"/>
        <v>0</v>
      </c>
      <c r="AO202" s="316">
        <f t="shared" si="105"/>
        <v>0</v>
      </c>
      <c r="AP202" s="316">
        <f t="shared" si="105"/>
        <v>0</v>
      </c>
      <c r="AQ202" s="316">
        <f t="shared" si="105"/>
        <v>0</v>
      </c>
    </row>
    <row r="203" spans="1:43" s="144" customFormat="1" ht="13.35" hidden="1" customHeight="1" outlineLevel="1">
      <c r="A203" s="124"/>
      <c r="B203" s="142" t="str">
        <f t="shared" si="101"/>
        <v>[OTHER] FOR FUTURE INTERNAL BUDGETING PURPOSES</v>
      </c>
      <c r="C203" s="145">
        <f t="shared" si="102"/>
        <v>0</v>
      </c>
      <c r="D203" s="322">
        <f t="shared" si="102"/>
        <v>0</v>
      </c>
      <c r="E203" s="323">
        <f t="shared" si="102"/>
        <v>5</v>
      </c>
      <c r="F203" s="316">
        <f t="shared" ref="F203:AQ203" si="106">$C$160*F60</f>
        <v>0</v>
      </c>
      <c r="G203" s="316">
        <f t="shared" si="106"/>
        <v>0</v>
      </c>
      <c r="H203" s="316">
        <f t="shared" si="106"/>
        <v>0</v>
      </c>
      <c r="I203" s="316">
        <f t="shared" si="106"/>
        <v>0</v>
      </c>
      <c r="J203" s="316">
        <f t="shared" si="106"/>
        <v>0</v>
      </c>
      <c r="K203" s="316">
        <f t="shared" si="106"/>
        <v>0</v>
      </c>
      <c r="L203" s="316">
        <f t="shared" si="106"/>
        <v>0</v>
      </c>
      <c r="M203" s="316">
        <f t="shared" si="106"/>
        <v>0</v>
      </c>
      <c r="N203" s="316">
        <f t="shared" si="106"/>
        <v>0</v>
      </c>
      <c r="O203" s="316">
        <f t="shared" si="106"/>
        <v>0</v>
      </c>
      <c r="P203" s="316">
        <f t="shared" si="106"/>
        <v>0</v>
      </c>
      <c r="Q203" s="316">
        <f t="shared" si="106"/>
        <v>0</v>
      </c>
      <c r="R203" s="316">
        <f t="shared" si="106"/>
        <v>0</v>
      </c>
      <c r="S203" s="316">
        <f t="shared" si="106"/>
        <v>0</v>
      </c>
      <c r="T203" s="316">
        <f t="shared" si="106"/>
        <v>0</v>
      </c>
      <c r="U203" s="316">
        <f t="shared" si="106"/>
        <v>0</v>
      </c>
      <c r="V203" s="316">
        <f t="shared" si="106"/>
        <v>0</v>
      </c>
      <c r="W203" s="316">
        <f t="shared" si="106"/>
        <v>0</v>
      </c>
      <c r="X203" s="316">
        <f t="shared" si="106"/>
        <v>0</v>
      </c>
      <c r="Y203" s="316">
        <f t="shared" si="106"/>
        <v>0</v>
      </c>
      <c r="Z203" s="316">
        <f t="shared" si="106"/>
        <v>0</v>
      </c>
      <c r="AA203" s="316">
        <f t="shared" si="106"/>
        <v>0</v>
      </c>
      <c r="AB203" s="316">
        <f t="shared" si="106"/>
        <v>0</v>
      </c>
      <c r="AC203" s="316">
        <f t="shared" si="106"/>
        <v>0</v>
      </c>
      <c r="AD203" s="316">
        <f t="shared" si="106"/>
        <v>0</v>
      </c>
      <c r="AE203" s="316">
        <f t="shared" si="106"/>
        <v>0</v>
      </c>
      <c r="AF203" s="316">
        <f t="shared" si="106"/>
        <v>0</v>
      </c>
      <c r="AG203" s="316">
        <f t="shared" si="106"/>
        <v>0</v>
      </c>
      <c r="AH203" s="316">
        <f t="shared" si="106"/>
        <v>0</v>
      </c>
      <c r="AI203" s="316">
        <f t="shared" si="106"/>
        <v>0</v>
      </c>
      <c r="AJ203" s="316">
        <f t="shared" si="106"/>
        <v>0</v>
      </c>
      <c r="AK203" s="316">
        <f t="shared" si="106"/>
        <v>0</v>
      </c>
      <c r="AL203" s="316">
        <f t="shared" si="106"/>
        <v>0</v>
      </c>
      <c r="AM203" s="316">
        <f t="shared" si="106"/>
        <v>0</v>
      </c>
      <c r="AN203" s="316">
        <f t="shared" si="106"/>
        <v>0</v>
      </c>
      <c r="AO203" s="316">
        <f t="shared" si="106"/>
        <v>0</v>
      </c>
      <c r="AP203" s="316">
        <f t="shared" si="106"/>
        <v>0</v>
      </c>
      <c r="AQ203" s="316">
        <f t="shared" si="106"/>
        <v>0</v>
      </c>
    </row>
    <row r="204" spans="1:43" s="144" customFormat="1" ht="13.35" hidden="1" customHeight="1" outlineLevel="1">
      <c r="A204" s="124"/>
      <c r="B204" s="142" t="str">
        <f t="shared" si="101"/>
        <v>[OTHER] FOR FUTURE INTERNAL BUDGETING PURPOSES</v>
      </c>
      <c r="C204" s="145">
        <f t="shared" si="102"/>
        <v>0</v>
      </c>
      <c r="D204" s="322">
        <f t="shared" si="102"/>
        <v>0</v>
      </c>
      <c r="E204" s="323">
        <f t="shared" si="102"/>
        <v>5</v>
      </c>
      <c r="F204" s="316">
        <f t="shared" ref="F204:AQ204" si="107">$C$160*F61</f>
        <v>0</v>
      </c>
      <c r="G204" s="316">
        <f t="shared" si="107"/>
        <v>0</v>
      </c>
      <c r="H204" s="316">
        <f t="shared" si="107"/>
        <v>0</v>
      </c>
      <c r="I204" s="316">
        <f t="shared" si="107"/>
        <v>0</v>
      </c>
      <c r="J204" s="316">
        <f t="shared" si="107"/>
        <v>0</v>
      </c>
      <c r="K204" s="316">
        <f t="shared" si="107"/>
        <v>0</v>
      </c>
      <c r="L204" s="316">
        <f t="shared" si="107"/>
        <v>0</v>
      </c>
      <c r="M204" s="316">
        <f t="shared" si="107"/>
        <v>0</v>
      </c>
      <c r="N204" s="316">
        <f t="shared" si="107"/>
        <v>0</v>
      </c>
      <c r="O204" s="316">
        <f t="shared" si="107"/>
        <v>0</v>
      </c>
      <c r="P204" s="316">
        <f t="shared" si="107"/>
        <v>0</v>
      </c>
      <c r="Q204" s="316">
        <f t="shared" si="107"/>
        <v>0</v>
      </c>
      <c r="R204" s="316">
        <f t="shared" si="107"/>
        <v>0</v>
      </c>
      <c r="S204" s="316">
        <f t="shared" si="107"/>
        <v>0</v>
      </c>
      <c r="T204" s="316">
        <f t="shared" si="107"/>
        <v>0</v>
      </c>
      <c r="U204" s="316">
        <f t="shared" si="107"/>
        <v>0</v>
      </c>
      <c r="V204" s="316">
        <f t="shared" si="107"/>
        <v>0</v>
      </c>
      <c r="W204" s="316">
        <f t="shared" si="107"/>
        <v>0</v>
      </c>
      <c r="X204" s="316">
        <f t="shared" si="107"/>
        <v>0</v>
      </c>
      <c r="Y204" s="316">
        <f t="shared" si="107"/>
        <v>0</v>
      </c>
      <c r="Z204" s="316">
        <f t="shared" si="107"/>
        <v>0</v>
      </c>
      <c r="AA204" s="316">
        <f t="shared" si="107"/>
        <v>0</v>
      </c>
      <c r="AB204" s="316">
        <f t="shared" si="107"/>
        <v>0</v>
      </c>
      <c r="AC204" s="316">
        <f t="shared" si="107"/>
        <v>0</v>
      </c>
      <c r="AD204" s="316">
        <f t="shared" si="107"/>
        <v>0</v>
      </c>
      <c r="AE204" s="316">
        <f t="shared" si="107"/>
        <v>0</v>
      </c>
      <c r="AF204" s="316">
        <f t="shared" si="107"/>
        <v>0</v>
      </c>
      <c r="AG204" s="316">
        <f t="shared" si="107"/>
        <v>0</v>
      </c>
      <c r="AH204" s="316">
        <f t="shared" si="107"/>
        <v>0</v>
      </c>
      <c r="AI204" s="316">
        <f t="shared" si="107"/>
        <v>0</v>
      </c>
      <c r="AJ204" s="316">
        <f t="shared" si="107"/>
        <v>0</v>
      </c>
      <c r="AK204" s="316">
        <f t="shared" si="107"/>
        <v>0</v>
      </c>
      <c r="AL204" s="316">
        <f t="shared" si="107"/>
        <v>0</v>
      </c>
      <c r="AM204" s="316">
        <f t="shared" si="107"/>
        <v>0</v>
      </c>
      <c r="AN204" s="316">
        <f t="shared" si="107"/>
        <v>0</v>
      </c>
      <c r="AO204" s="316">
        <f t="shared" si="107"/>
        <v>0</v>
      </c>
      <c r="AP204" s="316">
        <f t="shared" si="107"/>
        <v>0</v>
      </c>
      <c r="AQ204" s="316">
        <f t="shared" si="107"/>
        <v>0</v>
      </c>
    </row>
    <row r="205" spans="1:43" s="144" customFormat="1" ht="13.35" hidden="1" customHeight="1" outlineLevel="1">
      <c r="A205" s="124"/>
      <c r="B205" s="142" t="str">
        <f t="shared" si="101"/>
        <v>[OTHER] FOR FUTURE INTERNAL BUDGETING PURPOSES</v>
      </c>
      <c r="C205" s="145">
        <f t="shared" si="102"/>
        <v>0</v>
      </c>
      <c r="D205" s="322">
        <f t="shared" si="102"/>
        <v>0</v>
      </c>
      <c r="E205" s="323">
        <f t="shared" si="102"/>
        <v>5</v>
      </c>
      <c r="F205" s="316">
        <f t="shared" ref="F205:AQ205" si="108">$C$160*F62</f>
        <v>0</v>
      </c>
      <c r="G205" s="316">
        <f t="shared" si="108"/>
        <v>0</v>
      </c>
      <c r="H205" s="316">
        <f t="shared" si="108"/>
        <v>0</v>
      </c>
      <c r="I205" s="316">
        <f t="shared" si="108"/>
        <v>0</v>
      </c>
      <c r="J205" s="316">
        <f t="shared" si="108"/>
        <v>0</v>
      </c>
      <c r="K205" s="316">
        <f t="shared" si="108"/>
        <v>0</v>
      </c>
      <c r="L205" s="316">
        <f t="shared" si="108"/>
        <v>0</v>
      </c>
      <c r="M205" s="316">
        <f t="shared" si="108"/>
        <v>0</v>
      </c>
      <c r="N205" s="316">
        <f t="shared" si="108"/>
        <v>0</v>
      </c>
      <c r="O205" s="316">
        <f t="shared" si="108"/>
        <v>0</v>
      </c>
      <c r="P205" s="316">
        <f t="shared" si="108"/>
        <v>0</v>
      </c>
      <c r="Q205" s="316">
        <f t="shared" si="108"/>
        <v>0</v>
      </c>
      <c r="R205" s="316">
        <f t="shared" si="108"/>
        <v>0</v>
      </c>
      <c r="S205" s="316">
        <f t="shared" si="108"/>
        <v>0</v>
      </c>
      <c r="T205" s="316">
        <f t="shared" si="108"/>
        <v>0</v>
      </c>
      <c r="U205" s="316">
        <f t="shared" si="108"/>
        <v>0</v>
      </c>
      <c r="V205" s="316">
        <f t="shared" si="108"/>
        <v>0</v>
      </c>
      <c r="W205" s="316">
        <f t="shared" si="108"/>
        <v>0</v>
      </c>
      <c r="X205" s="316">
        <f t="shared" si="108"/>
        <v>0</v>
      </c>
      <c r="Y205" s="316">
        <f t="shared" si="108"/>
        <v>0</v>
      </c>
      <c r="Z205" s="316">
        <f t="shared" si="108"/>
        <v>0</v>
      </c>
      <c r="AA205" s="316">
        <f t="shared" si="108"/>
        <v>0</v>
      </c>
      <c r="AB205" s="316">
        <f t="shared" si="108"/>
        <v>0</v>
      </c>
      <c r="AC205" s="316">
        <f t="shared" si="108"/>
        <v>0</v>
      </c>
      <c r="AD205" s="316">
        <f t="shared" si="108"/>
        <v>0</v>
      </c>
      <c r="AE205" s="316">
        <f t="shared" si="108"/>
        <v>0</v>
      </c>
      <c r="AF205" s="316">
        <f t="shared" si="108"/>
        <v>0</v>
      </c>
      <c r="AG205" s="316">
        <f t="shared" si="108"/>
        <v>0</v>
      </c>
      <c r="AH205" s="316">
        <f t="shared" si="108"/>
        <v>0</v>
      </c>
      <c r="AI205" s="316">
        <f t="shared" si="108"/>
        <v>0</v>
      </c>
      <c r="AJ205" s="316">
        <f t="shared" si="108"/>
        <v>0</v>
      </c>
      <c r="AK205" s="316">
        <f t="shared" si="108"/>
        <v>0</v>
      </c>
      <c r="AL205" s="316">
        <f t="shared" si="108"/>
        <v>0</v>
      </c>
      <c r="AM205" s="316">
        <f t="shared" si="108"/>
        <v>0</v>
      </c>
      <c r="AN205" s="316">
        <f t="shared" si="108"/>
        <v>0</v>
      </c>
      <c r="AO205" s="316">
        <f t="shared" si="108"/>
        <v>0</v>
      </c>
      <c r="AP205" s="316">
        <f t="shared" si="108"/>
        <v>0</v>
      </c>
      <c r="AQ205" s="316">
        <f t="shared" si="108"/>
        <v>0</v>
      </c>
    </row>
    <row r="206" spans="1:43" s="144" customFormat="1" ht="13.35" hidden="1" customHeight="1" outlineLevel="1">
      <c r="A206" s="124"/>
      <c r="B206" s="142" t="str">
        <f t="shared" si="101"/>
        <v>[OTHER] FOR FUTURE INTERNAL BUDGETING PURPOSES</v>
      </c>
      <c r="C206" s="145">
        <f t="shared" si="102"/>
        <v>0</v>
      </c>
      <c r="D206" s="322">
        <f t="shared" si="102"/>
        <v>0</v>
      </c>
      <c r="E206" s="323">
        <f t="shared" si="102"/>
        <v>5</v>
      </c>
      <c r="F206" s="316">
        <f t="shared" ref="F206:AQ206" si="109">$C$160*F63</f>
        <v>0</v>
      </c>
      <c r="G206" s="316">
        <f t="shared" si="109"/>
        <v>0</v>
      </c>
      <c r="H206" s="316">
        <f t="shared" si="109"/>
        <v>0</v>
      </c>
      <c r="I206" s="316">
        <f t="shared" si="109"/>
        <v>0</v>
      </c>
      <c r="J206" s="316">
        <f t="shared" si="109"/>
        <v>0</v>
      </c>
      <c r="K206" s="316">
        <f t="shared" si="109"/>
        <v>0</v>
      </c>
      <c r="L206" s="316">
        <f t="shared" si="109"/>
        <v>0</v>
      </c>
      <c r="M206" s="316">
        <f t="shared" si="109"/>
        <v>0</v>
      </c>
      <c r="N206" s="316">
        <f t="shared" si="109"/>
        <v>0</v>
      </c>
      <c r="O206" s="316">
        <f t="shared" si="109"/>
        <v>0</v>
      </c>
      <c r="P206" s="316">
        <f t="shared" si="109"/>
        <v>0</v>
      </c>
      <c r="Q206" s="316">
        <f t="shared" si="109"/>
        <v>0</v>
      </c>
      <c r="R206" s="316">
        <f t="shared" si="109"/>
        <v>0</v>
      </c>
      <c r="S206" s="316">
        <f t="shared" si="109"/>
        <v>0</v>
      </c>
      <c r="T206" s="316">
        <f t="shared" si="109"/>
        <v>0</v>
      </c>
      <c r="U206" s="316">
        <f t="shared" si="109"/>
        <v>0</v>
      </c>
      <c r="V206" s="316">
        <f t="shared" si="109"/>
        <v>0</v>
      </c>
      <c r="W206" s="316">
        <f t="shared" si="109"/>
        <v>0</v>
      </c>
      <c r="X206" s="316">
        <f t="shared" si="109"/>
        <v>0</v>
      </c>
      <c r="Y206" s="316">
        <f t="shared" si="109"/>
        <v>0</v>
      </c>
      <c r="Z206" s="316">
        <f t="shared" si="109"/>
        <v>0</v>
      </c>
      <c r="AA206" s="316">
        <f t="shared" si="109"/>
        <v>0</v>
      </c>
      <c r="AB206" s="316">
        <f t="shared" si="109"/>
        <v>0</v>
      </c>
      <c r="AC206" s="316">
        <f t="shared" si="109"/>
        <v>0</v>
      </c>
      <c r="AD206" s="316">
        <f t="shared" si="109"/>
        <v>0</v>
      </c>
      <c r="AE206" s="316">
        <f t="shared" si="109"/>
        <v>0</v>
      </c>
      <c r="AF206" s="316">
        <f t="shared" si="109"/>
        <v>0</v>
      </c>
      <c r="AG206" s="316">
        <f t="shared" si="109"/>
        <v>0</v>
      </c>
      <c r="AH206" s="316">
        <f t="shared" si="109"/>
        <v>0</v>
      </c>
      <c r="AI206" s="316">
        <f t="shared" si="109"/>
        <v>0</v>
      </c>
      <c r="AJ206" s="316">
        <f t="shared" si="109"/>
        <v>0</v>
      </c>
      <c r="AK206" s="316">
        <f t="shared" si="109"/>
        <v>0</v>
      </c>
      <c r="AL206" s="316">
        <f t="shared" si="109"/>
        <v>0</v>
      </c>
      <c r="AM206" s="316">
        <f t="shared" si="109"/>
        <v>0</v>
      </c>
      <c r="AN206" s="316">
        <f t="shared" si="109"/>
        <v>0</v>
      </c>
      <c r="AO206" s="316">
        <f t="shared" si="109"/>
        <v>0</v>
      </c>
      <c r="AP206" s="316">
        <f t="shared" si="109"/>
        <v>0</v>
      </c>
      <c r="AQ206" s="316">
        <f t="shared" si="109"/>
        <v>0</v>
      </c>
    </row>
    <row r="207" spans="1:43" s="144" customFormat="1" ht="13.35" hidden="1" customHeight="1" outlineLevel="1">
      <c r="A207" s="124"/>
      <c r="B207" s="142" t="str">
        <f t="shared" si="101"/>
        <v>[OTHER] FOR FUTURE INTERNAL BUDGETING PURPOSES</v>
      </c>
      <c r="C207" s="145">
        <f t="shared" si="102"/>
        <v>0</v>
      </c>
      <c r="D207" s="322">
        <f t="shared" si="102"/>
        <v>0</v>
      </c>
      <c r="E207" s="323">
        <f t="shared" si="102"/>
        <v>5</v>
      </c>
      <c r="F207" s="316">
        <f t="shared" ref="F207:AQ207" si="110">$C$160*F64</f>
        <v>0</v>
      </c>
      <c r="G207" s="316">
        <f t="shared" si="110"/>
        <v>0</v>
      </c>
      <c r="H207" s="316">
        <f t="shared" si="110"/>
        <v>0</v>
      </c>
      <c r="I207" s="316">
        <f t="shared" si="110"/>
        <v>0</v>
      </c>
      <c r="J207" s="316">
        <f t="shared" si="110"/>
        <v>0</v>
      </c>
      <c r="K207" s="316">
        <f t="shared" si="110"/>
        <v>0</v>
      </c>
      <c r="L207" s="316">
        <f t="shared" si="110"/>
        <v>0</v>
      </c>
      <c r="M207" s="316">
        <f t="shared" si="110"/>
        <v>0</v>
      </c>
      <c r="N207" s="316">
        <f t="shared" si="110"/>
        <v>0</v>
      </c>
      <c r="O207" s="316">
        <f t="shared" si="110"/>
        <v>0</v>
      </c>
      <c r="P207" s="316">
        <f t="shared" si="110"/>
        <v>0</v>
      </c>
      <c r="Q207" s="316">
        <f t="shared" si="110"/>
        <v>0</v>
      </c>
      <c r="R207" s="316">
        <f t="shared" si="110"/>
        <v>0</v>
      </c>
      <c r="S207" s="316">
        <f t="shared" si="110"/>
        <v>0</v>
      </c>
      <c r="T207" s="316">
        <f t="shared" si="110"/>
        <v>0</v>
      </c>
      <c r="U207" s="316">
        <f t="shared" si="110"/>
        <v>0</v>
      </c>
      <c r="V207" s="316">
        <f t="shared" si="110"/>
        <v>0</v>
      </c>
      <c r="W207" s="316">
        <f t="shared" si="110"/>
        <v>0</v>
      </c>
      <c r="X207" s="316">
        <f t="shared" si="110"/>
        <v>0</v>
      </c>
      <c r="Y207" s="316">
        <f t="shared" si="110"/>
        <v>0</v>
      </c>
      <c r="Z207" s="316">
        <f t="shared" si="110"/>
        <v>0</v>
      </c>
      <c r="AA207" s="316">
        <f t="shared" si="110"/>
        <v>0</v>
      </c>
      <c r="AB207" s="316">
        <f t="shared" si="110"/>
        <v>0</v>
      </c>
      <c r="AC207" s="316">
        <f t="shared" si="110"/>
        <v>0</v>
      </c>
      <c r="AD207" s="316">
        <f t="shared" si="110"/>
        <v>0</v>
      </c>
      <c r="AE207" s="316">
        <f t="shared" si="110"/>
        <v>0</v>
      </c>
      <c r="AF207" s="316">
        <f t="shared" si="110"/>
        <v>0</v>
      </c>
      <c r="AG207" s="316">
        <f t="shared" si="110"/>
        <v>0</v>
      </c>
      <c r="AH207" s="316">
        <f t="shared" si="110"/>
        <v>0</v>
      </c>
      <c r="AI207" s="316">
        <f t="shared" si="110"/>
        <v>0</v>
      </c>
      <c r="AJ207" s="316">
        <f t="shared" si="110"/>
        <v>0</v>
      </c>
      <c r="AK207" s="316">
        <f t="shared" si="110"/>
        <v>0</v>
      </c>
      <c r="AL207" s="316">
        <f t="shared" si="110"/>
        <v>0</v>
      </c>
      <c r="AM207" s="316">
        <f t="shared" si="110"/>
        <v>0</v>
      </c>
      <c r="AN207" s="316">
        <f t="shared" si="110"/>
        <v>0</v>
      </c>
      <c r="AO207" s="316">
        <f t="shared" si="110"/>
        <v>0</v>
      </c>
      <c r="AP207" s="316">
        <f t="shared" si="110"/>
        <v>0</v>
      </c>
      <c r="AQ207" s="316">
        <f t="shared" si="110"/>
        <v>0</v>
      </c>
    </row>
    <row r="208" spans="1:43" s="144" customFormat="1" ht="13.35" hidden="1" customHeight="1" outlineLevel="1">
      <c r="A208" s="124"/>
      <c r="B208" s="142" t="str">
        <f t="shared" si="101"/>
        <v>[OTHER] FOR FUTURE INTERNAL BUDGETING PURPOSES</v>
      </c>
      <c r="C208" s="145">
        <f t="shared" si="102"/>
        <v>0</v>
      </c>
      <c r="D208" s="322">
        <f t="shared" si="102"/>
        <v>0</v>
      </c>
      <c r="E208" s="323">
        <f t="shared" si="102"/>
        <v>5</v>
      </c>
      <c r="F208" s="316">
        <f t="shared" ref="F208:AQ208" si="111">$C$160*F65</f>
        <v>0</v>
      </c>
      <c r="G208" s="316">
        <f t="shared" si="111"/>
        <v>0</v>
      </c>
      <c r="H208" s="316">
        <f t="shared" si="111"/>
        <v>0</v>
      </c>
      <c r="I208" s="316">
        <f t="shared" si="111"/>
        <v>0</v>
      </c>
      <c r="J208" s="316">
        <f t="shared" si="111"/>
        <v>0</v>
      </c>
      <c r="K208" s="316">
        <f t="shared" si="111"/>
        <v>0</v>
      </c>
      <c r="L208" s="316">
        <f t="shared" si="111"/>
        <v>0</v>
      </c>
      <c r="M208" s="316">
        <f t="shared" si="111"/>
        <v>0</v>
      </c>
      <c r="N208" s="316">
        <f t="shared" si="111"/>
        <v>0</v>
      </c>
      <c r="O208" s="316">
        <f t="shared" si="111"/>
        <v>0</v>
      </c>
      <c r="P208" s="316">
        <f t="shared" si="111"/>
        <v>0</v>
      </c>
      <c r="Q208" s="316">
        <f t="shared" si="111"/>
        <v>0</v>
      </c>
      <c r="R208" s="316">
        <f t="shared" si="111"/>
        <v>0</v>
      </c>
      <c r="S208" s="316">
        <f t="shared" si="111"/>
        <v>0</v>
      </c>
      <c r="T208" s="316">
        <f t="shared" si="111"/>
        <v>0</v>
      </c>
      <c r="U208" s="316">
        <f t="shared" si="111"/>
        <v>0</v>
      </c>
      <c r="V208" s="316">
        <f t="shared" si="111"/>
        <v>0</v>
      </c>
      <c r="W208" s="316">
        <f t="shared" si="111"/>
        <v>0</v>
      </c>
      <c r="X208" s="316">
        <f t="shared" si="111"/>
        <v>0</v>
      </c>
      <c r="Y208" s="316">
        <f t="shared" si="111"/>
        <v>0</v>
      </c>
      <c r="Z208" s="316">
        <f t="shared" si="111"/>
        <v>0</v>
      </c>
      <c r="AA208" s="316">
        <f t="shared" si="111"/>
        <v>0</v>
      </c>
      <c r="AB208" s="316">
        <f t="shared" si="111"/>
        <v>0</v>
      </c>
      <c r="AC208" s="316">
        <f t="shared" si="111"/>
        <v>0</v>
      </c>
      <c r="AD208" s="316">
        <f t="shared" si="111"/>
        <v>0</v>
      </c>
      <c r="AE208" s="316">
        <f t="shared" si="111"/>
        <v>0</v>
      </c>
      <c r="AF208" s="316">
        <f t="shared" si="111"/>
        <v>0</v>
      </c>
      <c r="AG208" s="316">
        <f t="shared" si="111"/>
        <v>0</v>
      </c>
      <c r="AH208" s="316">
        <f t="shared" si="111"/>
        <v>0</v>
      </c>
      <c r="AI208" s="316">
        <f t="shared" si="111"/>
        <v>0</v>
      </c>
      <c r="AJ208" s="316">
        <f t="shared" si="111"/>
        <v>0</v>
      </c>
      <c r="AK208" s="316">
        <f t="shared" si="111"/>
        <v>0</v>
      </c>
      <c r="AL208" s="316">
        <f t="shared" si="111"/>
        <v>0</v>
      </c>
      <c r="AM208" s="316">
        <f t="shared" si="111"/>
        <v>0</v>
      </c>
      <c r="AN208" s="316">
        <f t="shared" si="111"/>
        <v>0</v>
      </c>
      <c r="AO208" s="316">
        <f t="shared" si="111"/>
        <v>0</v>
      </c>
      <c r="AP208" s="316">
        <f t="shared" si="111"/>
        <v>0</v>
      </c>
      <c r="AQ208" s="316">
        <f t="shared" si="111"/>
        <v>0</v>
      </c>
    </row>
    <row r="209" spans="1:43" s="144" customFormat="1" ht="13.35" hidden="1" customHeight="1" outlineLevel="1">
      <c r="A209" s="124"/>
      <c r="B209" s="142" t="str">
        <f t="shared" si="101"/>
        <v>[OTHER] FOR FUTURE INTERNAL BUDGETING PURPOSES</v>
      </c>
      <c r="C209" s="145">
        <f t="shared" si="102"/>
        <v>0</v>
      </c>
      <c r="D209" s="322">
        <f t="shared" si="102"/>
        <v>0</v>
      </c>
      <c r="E209" s="323">
        <f t="shared" si="102"/>
        <v>5</v>
      </c>
      <c r="F209" s="316">
        <f t="shared" ref="F209:AQ209" si="112">$C$160*F66</f>
        <v>0</v>
      </c>
      <c r="G209" s="316">
        <f t="shared" si="112"/>
        <v>0</v>
      </c>
      <c r="H209" s="316">
        <f t="shared" si="112"/>
        <v>0</v>
      </c>
      <c r="I209" s="316">
        <f t="shared" si="112"/>
        <v>0</v>
      </c>
      <c r="J209" s="316">
        <f t="shared" si="112"/>
        <v>0</v>
      </c>
      <c r="K209" s="316">
        <f t="shared" si="112"/>
        <v>0</v>
      </c>
      <c r="L209" s="316">
        <f t="shared" si="112"/>
        <v>0</v>
      </c>
      <c r="M209" s="316">
        <f t="shared" si="112"/>
        <v>0</v>
      </c>
      <c r="N209" s="316">
        <f t="shared" si="112"/>
        <v>0</v>
      </c>
      <c r="O209" s="316">
        <f t="shared" si="112"/>
        <v>0</v>
      </c>
      <c r="P209" s="316">
        <f t="shared" si="112"/>
        <v>0</v>
      </c>
      <c r="Q209" s="316">
        <f t="shared" si="112"/>
        <v>0</v>
      </c>
      <c r="R209" s="316">
        <f t="shared" si="112"/>
        <v>0</v>
      </c>
      <c r="S209" s="316">
        <f t="shared" si="112"/>
        <v>0</v>
      </c>
      <c r="T209" s="316">
        <f t="shared" si="112"/>
        <v>0</v>
      </c>
      <c r="U209" s="316">
        <f t="shared" si="112"/>
        <v>0</v>
      </c>
      <c r="V209" s="316">
        <f t="shared" si="112"/>
        <v>0</v>
      </c>
      <c r="W209" s="316">
        <f t="shared" si="112"/>
        <v>0</v>
      </c>
      <c r="X209" s="316">
        <f t="shared" si="112"/>
        <v>0</v>
      </c>
      <c r="Y209" s="316">
        <f t="shared" si="112"/>
        <v>0</v>
      </c>
      <c r="Z209" s="316">
        <f t="shared" si="112"/>
        <v>0</v>
      </c>
      <c r="AA209" s="316">
        <f t="shared" si="112"/>
        <v>0</v>
      </c>
      <c r="AB209" s="316">
        <f t="shared" si="112"/>
        <v>0</v>
      </c>
      <c r="AC209" s="316">
        <f t="shared" si="112"/>
        <v>0</v>
      </c>
      <c r="AD209" s="316">
        <f t="shared" si="112"/>
        <v>0</v>
      </c>
      <c r="AE209" s="316">
        <f t="shared" si="112"/>
        <v>0</v>
      </c>
      <c r="AF209" s="316">
        <f t="shared" si="112"/>
        <v>0</v>
      </c>
      <c r="AG209" s="316">
        <f t="shared" si="112"/>
        <v>0</v>
      </c>
      <c r="AH209" s="316">
        <f t="shared" si="112"/>
        <v>0</v>
      </c>
      <c r="AI209" s="316">
        <f t="shared" si="112"/>
        <v>0</v>
      </c>
      <c r="AJ209" s="316">
        <f t="shared" si="112"/>
        <v>0</v>
      </c>
      <c r="AK209" s="316">
        <f t="shared" si="112"/>
        <v>0</v>
      </c>
      <c r="AL209" s="316">
        <f t="shared" si="112"/>
        <v>0</v>
      </c>
      <c r="AM209" s="316">
        <f t="shared" si="112"/>
        <v>0</v>
      </c>
      <c r="AN209" s="316">
        <f t="shared" si="112"/>
        <v>0</v>
      </c>
      <c r="AO209" s="316">
        <f t="shared" si="112"/>
        <v>0</v>
      </c>
      <c r="AP209" s="316">
        <f t="shared" si="112"/>
        <v>0</v>
      </c>
      <c r="AQ209" s="316">
        <f t="shared" si="112"/>
        <v>0</v>
      </c>
    </row>
    <row r="210" spans="1:43" s="144" customFormat="1" ht="13.35" hidden="1" customHeight="1" outlineLevel="1">
      <c r="A210" s="124"/>
      <c r="B210" s="142" t="str">
        <f t="shared" si="101"/>
        <v>[OTHER] FOR FUTURE INTERNAL BUDGETING PURPOSES</v>
      </c>
      <c r="C210" s="145">
        <f t="shared" si="102"/>
        <v>0</v>
      </c>
      <c r="D210" s="322">
        <f t="shared" si="102"/>
        <v>0</v>
      </c>
      <c r="E210" s="323">
        <f t="shared" si="102"/>
        <v>5</v>
      </c>
      <c r="F210" s="316">
        <f t="shared" ref="F210:AQ210" si="113">$C$160*F67</f>
        <v>0</v>
      </c>
      <c r="G210" s="316">
        <f t="shared" si="113"/>
        <v>0</v>
      </c>
      <c r="H210" s="316">
        <f t="shared" si="113"/>
        <v>0</v>
      </c>
      <c r="I210" s="316">
        <f t="shared" si="113"/>
        <v>0</v>
      </c>
      <c r="J210" s="316">
        <f t="shared" si="113"/>
        <v>0</v>
      </c>
      <c r="K210" s="316">
        <f t="shared" si="113"/>
        <v>0</v>
      </c>
      <c r="L210" s="316">
        <f t="shared" si="113"/>
        <v>0</v>
      </c>
      <c r="M210" s="316">
        <f t="shared" si="113"/>
        <v>0</v>
      </c>
      <c r="N210" s="316">
        <f t="shared" si="113"/>
        <v>0</v>
      </c>
      <c r="O210" s="316">
        <f t="shared" si="113"/>
        <v>0</v>
      </c>
      <c r="P210" s="316">
        <f t="shared" si="113"/>
        <v>0</v>
      </c>
      <c r="Q210" s="316">
        <f t="shared" si="113"/>
        <v>0</v>
      </c>
      <c r="R210" s="316">
        <f t="shared" si="113"/>
        <v>0</v>
      </c>
      <c r="S210" s="316">
        <f t="shared" si="113"/>
        <v>0</v>
      </c>
      <c r="T210" s="316">
        <f t="shared" si="113"/>
        <v>0</v>
      </c>
      <c r="U210" s="316">
        <f t="shared" si="113"/>
        <v>0</v>
      </c>
      <c r="V210" s="316">
        <f t="shared" si="113"/>
        <v>0</v>
      </c>
      <c r="W210" s="316">
        <f t="shared" si="113"/>
        <v>0</v>
      </c>
      <c r="X210" s="316">
        <f t="shared" si="113"/>
        <v>0</v>
      </c>
      <c r="Y210" s="316">
        <f t="shared" si="113"/>
        <v>0</v>
      </c>
      <c r="Z210" s="316">
        <f t="shared" si="113"/>
        <v>0</v>
      </c>
      <c r="AA210" s="316">
        <f t="shared" si="113"/>
        <v>0</v>
      </c>
      <c r="AB210" s="316">
        <f t="shared" si="113"/>
        <v>0</v>
      </c>
      <c r="AC210" s="316">
        <f t="shared" si="113"/>
        <v>0</v>
      </c>
      <c r="AD210" s="316">
        <f t="shared" si="113"/>
        <v>0</v>
      </c>
      <c r="AE210" s="316">
        <f t="shared" si="113"/>
        <v>0</v>
      </c>
      <c r="AF210" s="316">
        <f t="shared" si="113"/>
        <v>0</v>
      </c>
      <c r="AG210" s="316">
        <f t="shared" si="113"/>
        <v>0</v>
      </c>
      <c r="AH210" s="316">
        <f t="shared" si="113"/>
        <v>0</v>
      </c>
      <c r="AI210" s="316">
        <f t="shared" si="113"/>
        <v>0</v>
      </c>
      <c r="AJ210" s="316">
        <f t="shared" si="113"/>
        <v>0</v>
      </c>
      <c r="AK210" s="316">
        <f t="shared" si="113"/>
        <v>0</v>
      </c>
      <c r="AL210" s="316">
        <f t="shared" si="113"/>
        <v>0</v>
      </c>
      <c r="AM210" s="316">
        <f t="shared" si="113"/>
        <v>0</v>
      </c>
      <c r="AN210" s="316">
        <f t="shared" si="113"/>
        <v>0</v>
      </c>
      <c r="AO210" s="316">
        <f t="shared" si="113"/>
        <v>0</v>
      </c>
      <c r="AP210" s="316">
        <f t="shared" si="113"/>
        <v>0</v>
      </c>
      <c r="AQ210" s="316">
        <f t="shared" si="113"/>
        <v>0</v>
      </c>
    </row>
    <row r="211" spans="1:43" s="144" customFormat="1" ht="13.35" hidden="1" customHeight="1" outlineLevel="1">
      <c r="A211" s="124"/>
      <c r="B211" s="142" t="str">
        <f t="shared" si="101"/>
        <v>[OTHER] FOR FUTURE INTERNAL BUDGETING PURPOSES</v>
      </c>
      <c r="C211" s="145">
        <f t="shared" si="102"/>
        <v>0</v>
      </c>
      <c r="D211" s="322">
        <f t="shared" si="102"/>
        <v>0</v>
      </c>
      <c r="E211" s="323">
        <f t="shared" si="102"/>
        <v>5</v>
      </c>
      <c r="F211" s="316">
        <f t="shared" ref="F211:AQ211" si="114">$C$160*F68</f>
        <v>0</v>
      </c>
      <c r="G211" s="316">
        <f t="shared" si="114"/>
        <v>0</v>
      </c>
      <c r="H211" s="316">
        <f t="shared" si="114"/>
        <v>0</v>
      </c>
      <c r="I211" s="316">
        <f t="shared" si="114"/>
        <v>0</v>
      </c>
      <c r="J211" s="316">
        <f t="shared" si="114"/>
        <v>0</v>
      </c>
      <c r="K211" s="316">
        <f t="shared" si="114"/>
        <v>0</v>
      </c>
      <c r="L211" s="316">
        <f t="shared" si="114"/>
        <v>0</v>
      </c>
      <c r="M211" s="316">
        <f t="shared" si="114"/>
        <v>0</v>
      </c>
      <c r="N211" s="316">
        <f t="shared" si="114"/>
        <v>0</v>
      </c>
      <c r="O211" s="316">
        <f t="shared" si="114"/>
        <v>0</v>
      </c>
      <c r="P211" s="316">
        <f t="shared" si="114"/>
        <v>0</v>
      </c>
      <c r="Q211" s="316">
        <f t="shared" si="114"/>
        <v>0</v>
      </c>
      <c r="R211" s="316">
        <f t="shared" si="114"/>
        <v>0</v>
      </c>
      <c r="S211" s="316">
        <f t="shared" si="114"/>
        <v>0</v>
      </c>
      <c r="T211" s="316">
        <f t="shared" si="114"/>
        <v>0</v>
      </c>
      <c r="U211" s="316">
        <f t="shared" si="114"/>
        <v>0</v>
      </c>
      <c r="V211" s="316">
        <f t="shared" si="114"/>
        <v>0</v>
      </c>
      <c r="W211" s="316">
        <f t="shared" si="114"/>
        <v>0</v>
      </c>
      <c r="X211" s="316">
        <f t="shared" si="114"/>
        <v>0</v>
      </c>
      <c r="Y211" s="316">
        <f t="shared" si="114"/>
        <v>0</v>
      </c>
      <c r="Z211" s="316">
        <f t="shared" si="114"/>
        <v>0</v>
      </c>
      <c r="AA211" s="316">
        <f t="shared" si="114"/>
        <v>0</v>
      </c>
      <c r="AB211" s="316">
        <f t="shared" si="114"/>
        <v>0</v>
      </c>
      <c r="AC211" s="316">
        <f t="shared" si="114"/>
        <v>0</v>
      </c>
      <c r="AD211" s="316">
        <f t="shared" si="114"/>
        <v>0</v>
      </c>
      <c r="AE211" s="316">
        <f t="shared" si="114"/>
        <v>0</v>
      </c>
      <c r="AF211" s="316">
        <f t="shared" si="114"/>
        <v>0</v>
      </c>
      <c r="AG211" s="316">
        <f t="shared" si="114"/>
        <v>0</v>
      </c>
      <c r="AH211" s="316">
        <f t="shared" si="114"/>
        <v>0</v>
      </c>
      <c r="AI211" s="316">
        <f t="shared" si="114"/>
        <v>0</v>
      </c>
      <c r="AJ211" s="316">
        <f t="shared" si="114"/>
        <v>0</v>
      </c>
      <c r="AK211" s="316">
        <f t="shared" si="114"/>
        <v>0</v>
      </c>
      <c r="AL211" s="316">
        <f t="shared" si="114"/>
        <v>0</v>
      </c>
      <c r="AM211" s="316">
        <f t="shared" si="114"/>
        <v>0</v>
      </c>
      <c r="AN211" s="316">
        <f t="shared" si="114"/>
        <v>0</v>
      </c>
      <c r="AO211" s="316">
        <f t="shared" si="114"/>
        <v>0</v>
      </c>
      <c r="AP211" s="316">
        <f t="shared" si="114"/>
        <v>0</v>
      </c>
      <c r="AQ211" s="316">
        <f t="shared" si="114"/>
        <v>0</v>
      </c>
    </row>
    <row r="212" spans="1:43" s="144" customFormat="1" ht="13.35" hidden="1" customHeight="1" outlineLevel="1">
      <c r="A212" s="124"/>
      <c r="B212" s="142" t="str">
        <f t="shared" si="101"/>
        <v>[OTHER] FOR FUTURE INTERNAL BUDGETING PURPOSES</v>
      </c>
      <c r="C212" s="145">
        <f t="shared" si="102"/>
        <v>0</v>
      </c>
      <c r="D212" s="322">
        <f t="shared" si="102"/>
        <v>0</v>
      </c>
      <c r="E212" s="323">
        <f t="shared" si="102"/>
        <v>5</v>
      </c>
      <c r="F212" s="316">
        <f t="shared" ref="F212:AQ212" si="115">$C$160*F69</f>
        <v>0</v>
      </c>
      <c r="G212" s="316">
        <f t="shared" si="115"/>
        <v>0</v>
      </c>
      <c r="H212" s="316">
        <f t="shared" si="115"/>
        <v>0</v>
      </c>
      <c r="I212" s="316">
        <f t="shared" si="115"/>
        <v>0</v>
      </c>
      <c r="J212" s="316">
        <f t="shared" si="115"/>
        <v>0</v>
      </c>
      <c r="K212" s="316">
        <f t="shared" si="115"/>
        <v>0</v>
      </c>
      <c r="L212" s="316">
        <f t="shared" si="115"/>
        <v>0</v>
      </c>
      <c r="M212" s="316">
        <f t="shared" si="115"/>
        <v>0</v>
      </c>
      <c r="N212" s="316">
        <f t="shared" si="115"/>
        <v>0</v>
      </c>
      <c r="O212" s="316">
        <f t="shared" si="115"/>
        <v>0</v>
      </c>
      <c r="P212" s="316">
        <f t="shared" si="115"/>
        <v>0</v>
      </c>
      <c r="Q212" s="316">
        <f t="shared" si="115"/>
        <v>0</v>
      </c>
      <c r="R212" s="316">
        <f t="shared" si="115"/>
        <v>0</v>
      </c>
      <c r="S212" s="316">
        <f t="shared" si="115"/>
        <v>0</v>
      </c>
      <c r="T212" s="316">
        <f t="shared" si="115"/>
        <v>0</v>
      </c>
      <c r="U212" s="316">
        <f t="shared" si="115"/>
        <v>0</v>
      </c>
      <c r="V212" s="316">
        <f t="shared" si="115"/>
        <v>0</v>
      </c>
      <c r="W212" s="316">
        <f t="shared" si="115"/>
        <v>0</v>
      </c>
      <c r="X212" s="316">
        <f t="shared" si="115"/>
        <v>0</v>
      </c>
      <c r="Y212" s="316">
        <f t="shared" si="115"/>
        <v>0</v>
      </c>
      <c r="Z212" s="316">
        <f t="shared" si="115"/>
        <v>0</v>
      </c>
      <c r="AA212" s="316">
        <f t="shared" si="115"/>
        <v>0</v>
      </c>
      <c r="AB212" s="316">
        <f t="shared" si="115"/>
        <v>0</v>
      </c>
      <c r="AC212" s="316">
        <f t="shared" si="115"/>
        <v>0</v>
      </c>
      <c r="AD212" s="316">
        <f t="shared" si="115"/>
        <v>0</v>
      </c>
      <c r="AE212" s="316">
        <f t="shared" si="115"/>
        <v>0</v>
      </c>
      <c r="AF212" s="316">
        <f t="shared" si="115"/>
        <v>0</v>
      </c>
      <c r="AG212" s="316">
        <f t="shared" si="115"/>
        <v>0</v>
      </c>
      <c r="AH212" s="316">
        <f t="shared" si="115"/>
        <v>0</v>
      </c>
      <c r="AI212" s="316">
        <f t="shared" si="115"/>
        <v>0</v>
      </c>
      <c r="AJ212" s="316">
        <f t="shared" si="115"/>
        <v>0</v>
      </c>
      <c r="AK212" s="316">
        <f t="shared" si="115"/>
        <v>0</v>
      </c>
      <c r="AL212" s="316">
        <f t="shared" si="115"/>
        <v>0</v>
      </c>
      <c r="AM212" s="316">
        <f t="shared" si="115"/>
        <v>0</v>
      </c>
      <c r="AN212" s="316">
        <f t="shared" si="115"/>
        <v>0</v>
      </c>
      <c r="AO212" s="316">
        <f t="shared" si="115"/>
        <v>0</v>
      </c>
      <c r="AP212" s="316">
        <f t="shared" si="115"/>
        <v>0</v>
      </c>
      <c r="AQ212" s="316">
        <f t="shared" si="115"/>
        <v>0</v>
      </c>
    </row>
    <row r="213" spans="1:43" s="144" customFormat="1" ht="13.35" hidden="1" customHeight="1" outlineLevel="1">
      <c r="A213" s="124"/>
      <c r="B213" s="142" t="str">
        <f t="shared" si="101"/>
        <v>[OTHER] FOR FUTURE INTERNAL BUDGETING PURPOSES</v>
      </c>
      <c r="C213" s="145">
        <f t="shared" si="102"/>
        <v>0</v>
      </c>
      <c r="D213" s="322">
        <f t="shared" si="102"/>
        <v>0</v>
      </c>
      <c r="E213" s="323">
        <f t="shared" si="102"/>
        <v>5</v>
      </c>
      <c r="F213" s="316">
        <f t="shared" ref="F213:AQ213" si="116">$C$160*F70</f>
        <v>0</v>
      </c>
      <c r="G213" s="316">
        <f t="shared" si="116"/>
        <v>0</v>
      </c>
      <c r="H213" s="316">
        <f t="shared" si="116"/>
        <v>0</v>
      </c>
      <c r="I213" s="316">
        <f t="shared" si="116"/>
        <v>0</v>
      </c>
      <c r="J213" s="316">
        <f t="shared" si="116"/>
        <v>0</v>
      </c>
      <c r="K213" s="316">
        <f t="shared" si="116"/>
        <v>0</v>
      </c>
      <c r="L213" s="316">
        <f t="shared" si="116"/>
        <v>0</v>
      </c>
      <c r="M213" s="316">
        <f t="shared" si="116"/>
        <v>0</v>
      </c>
      <c r="N213" s="316">
        <f t="shared" si="116"/>
        <v>0</v>
      </c>
      <c r="O213" s="316">
        <f t="shared" si="116"/>
        <v>0</v>
      </c>
      <c r="P213" s="316">
        <f t="shared" si="116"/>
        <v>0</v>
      </c>
      <c r="Q213" s="316">
        <f t="shared" si="116"/>
        <v>0</v>
      </c>
      <c r="R213" s="316">
        <f t="shared" si="116"/>
        <v>0</v>
      </c>
      <c r="S213" s="316">
        <f t="shared" si="116"/>
        <v>0</v>
      </c>
      <c r="T213" s="316">
        <f t="shared" si="116"/>
        <v>0</v>
      </c>
      <c r="U213" s="316">
        <f t="shared" si="116"/>
        <v>0</v>
      </c>
      <c r="V213" s="316">
        <f t="shared" si="116"/>
        <v>0</v>
      </c>
      <c r="W213" s="316">
        <f t="shared" si="116"/>
        <v>0</v>
      </c>
      <c r="X213" s="316">
        <f t="shared" si="116"/>
        <v>0</v>
      </c>
      <c r="Y213" s="316">
        <f t="shared" si="116"/>
        <v>0</v>
      </c>
      <c r="Z213" s="316">
        <f t="shared" si="116"/>
        <v>0</v>
      </c>
      <c r="AA213" s="316">
        <f t="shared" si="116"/>
        <v>0</v>
      </c>
      <c r="AB213" s="316">
        <f t="shared" si="116"/>
        <v>0</v>
      </c>
      <c r="AC213" s="316">
        <f t="shared" si="116"/>
        <v>0</v>
      </c>
      <c r="AD213" s="316">
        <f t="shared" si="116"/>
        <v>0</v>
      </c>
      <c r="AE213" s="316">
        <f t="shared" si="116"/>
        <v>0</v>
      </c>
      <c r="AF213" s="316">
        <f t="shared" si="116"/>
        <v>0</v>
      </c>
      <c r="AG213" s="316">
        <f t="shared" si="116"/>
        <v>0</v>
      </c>
      <c r="AH213" s="316">
        <f t="shared" si="116"/>
        <v>0</v>
      </c>
      <c r="AI213" s="316">
        <f t="shared" si="116"/>
        <v>0</v>
      </c>
      <c r="AJ213" s="316">
        <f t="shared" si="116"/>
        <v>0</v>
      </c>
      <c r="AK213" s="316">
        <f t="shared" si="116"/>
        <v>0</v>
      </c>
      <c r="AL213" s="316">
        <f t="shared" si="116"/>
        <v>0</v>
      </c>
      <c r="AM213" s="316">
        <f t="shared" si="116"/>
        <v>0</v>
      </c>
      <c r="AN213" s="316">
        <f t="shared" si="116"/>
        <v>0</v>
      </c>
      <c r="AO213" s="316">
        <f t="shared" si="116"/>
        <v>0</v>
      </c>
      <c r="AP213" s="316">
        <f t="shared" si="116"/>
        <v>0</v>
      </c>
      <c r="AQ213" s="316">
        <f t="shared" si="116"/>
        <v>0</v>
      </c>
    </row>
    <row r="214" spans="1:43" s="144" customFormat="1" ht="13.35" hidden="1" customHeight="1" outlineLevel="1">
      <c r="A214" s="124"/>
      <c r="B214" s="142" t="str">
        <f t="shared" si="101"/>
        <v>[OTHER] FOR FUTURE INTERNAL BUDGETING PURPOSES</v>
      </c>
      <c r="C214" s="145">
        <f t="shared" si="102"/>
        <v>0</v>
      </c>
      <c r="D214" s="322">
        <f t="shared" si="102"/>
        <v>0</v>
      </c>
      <c r="E214" s="323">
        <f t="shared" si="102"/>
        <v>5</v>
      </c>
      <c r="F214" s="316">
        <f t="shared" ref="F214:AQ214" si="117">$C$160*F71</f>
        <v>0</v>
      </c>
      <c r="G214" s="316">
        <f t="shared" si="117"/>
        <v>0</v>
      </c>
      <c r="H214" s="316">
        <f t="shared" si="117"/>
        <v>0</v>
      </c>
      <c r="I214" s="316">
        <f t="shared" si="117"/>
        <v>0</v>
      </c>
      <c r="J214" s="316">
        <f t="shared" si="117"/>
        <v>0</v>
      </c>
      <c r="K214" s="316">
        <f t="shared" si="117"/>
        <v>0</v>
      </c>
      <c r="L214" s="316">
        <f t="shared" si="117"/>
        <v>0</v>
      </c>
      <c r="M214" s="316">
        <f t="shared" si="117"/>
        <v>0</v>
      </c>
      <c r="N214" s="316">
        <f t="shared" si="117"/>
        <v>0</v>
      </c>
      <c r="O214" s="316">
        <f t="shared" si="117"/>
        <v>0</v>
      </c>
      <c r="P214" s="316">
        <f t="shared" si="117"/>
        <v>0</v>
      </c>
      <c r="Q214" s="316">
        <f t="shared" si="117"/>
        <v>0</v>
      </c>
      <c r="R214" s="316">
        <f t="shared" si="117"/>
        <v>0</v>
      </c>
      <c r="S214" s="316">
        <f t="shared" si="117"/>
        <v>0</v>
      </c>
      <c r="T214" s="316">
        <f t="shared" si="117"/>
        <v>0</v>
      </c>
      <c r="U214" s="316">
        <f t="shared" si="117"/>
        <v>0</v>
      </c>
      <c r="V214" s="316">
        <f t="shared" si="117"/>
        <v>0</v>
      </c>
      <c r="W214" s="316">
        <f t="shared" si="117"/>
        <v>0</v>
      </c>
      <c r="X214" s="316">
        <f t="shared" si="117"/>
        <v>0</v>
      </c>
      <c r="Y214" s="316">
        <f t="shared" si="117"/>
        <v>0</v>
      </c>
      <c r="Z214" s="316">
        <f t="shared" si="117"/>
        <v>0</v>
      </c>
      <c r="AA214" s="316">
        <f t="shared" si="117"/>
        <v>0</v>
      </c>
      <c r="AB214" s="316">
        <f t="shared" si="117"/>
        <v>0</v>
      </c>
      <c r="AC214" s="316">
        <f t="shared" si="117"/>
        <v>0</v>
      </c>
      <c r="AD214" s="316">
        <f t="shared" si="117"/>
        <v>0</v>
      </c>
      <c r="AE214" s="316">
        <f t="shared" si="117"/>
        <v>0</v>
      </c>
      <c r="AF214" s="316">
        <f t="shared" si="117"/>
        <v>0</v>
      </c>
      <c r="AG214" s="316">
        <f t="shared" si="117"/>
        <v>0</v>
      </c>
      <c r="AH214" s="316">
        <f t="shared" si="117"/>
        <v>0</v>
      </c>
      <c r="AI214" s="316">
        <f t="shared" si="117"/>
        <v>0</v>
      </c>
      <c r="AJ214" s="316">
        <f t="shared" si="117"/>
        <v>0</v>
      </c>
      <c r="AK214" s="316">
        <f t="shared" si="117"/>
        <v>0</v>
      </c>
      <c r="AL214" s="316">
        <f t="shared" si="117"/>
        <v>0</v>
      </c>
      <c r="AM214" s="316">
        <f t="shared" si="117"/>
        <v>0</v>
      </c>
      <c r="AN214" s="316">
        <f t="shared" si="117"/>
        <v>0</v>
      </c>
      <c r="AO214" s="316">
        <f t="shared" si="117"/>
        <v>0</v>
      </c>
      <c r="AP214" s="316">
        <f t="shared" si="117"/>
        <v>0</v>
      </c>
      <c r="AQ214" s="316">
        <f t="shared" si="117"/>
        <v>0</v>
      </c>
    </row>
    <row r="215" spans="1:43" s="144" customFormat="1" ht="13.35" hidden="1" customHeight="1" outlineLevel="1">
      <c r="A215" s="124"/>
      <c r="B215" s="142" t="str">
        <f t="shared" si="101"/>
        <v>[OTHER] FOR FUTURE INTERNAL BUDGETING PURPOSES</v>
      </c>
      <c r="C215" s="145">
        <f t="shared" si="102"/>
        <v>0</v>
      </c>
      <c r="D215" s="322">
        <f t="shared" si="102"/>
        <v>0</v>
      </c>
      <c r="E215" s="323">
        <f t="shared" si="102"/>
        <v>5</v>
      </c>
      <c r="F215" s="316">
        <f t="shared" ref="F215:AQ215" si="118">$C$160*F72</f>
        <v>0</v>
      </c>
      <c r="G215" s="316">
        <f t="shared" si="118"/>
        <v>0</v>
      </c>
      <c r="H215" s="316">
        <f t="shared" si="118"/>
        <v>0</v>
      </c>
      <c r="I215" s="316">
        <f t="shared" si="118"/>
        <v>0</v>
      </c>
      <c r="J215" s="316">
        <f t="shared" si="118"/>
        <v>0</v>
      </c>
      <c r="K215" s="316">
        <f t="shared" si="118"/>
        <v>0</v>
      </c>
      <c r="L215" s="316">
        <f t="shared" si="118"/>
        <v>0</v>
      </c>
      <c r="M215" s="316">
        <f t="shared" si="118"/>
        <v>0</v>
      </c>
      <c r="N215" s="316">
        <f t="shared" si="118"/>
        <v>0</v>
      </c>
      <c r="O215" s="316">
        <f t="shared" si="118"/>
        <v>0</v>
      </c>
      <c r="P215" s="316">
        <f t="shared" si="118"/>
        <v>0</v>
      </c>
      <c r="Q215" s="316">
        <f t="shared" si="118"/>
        <v>0</v>
      </c>
      <c r="R215" s="316">
        <f t="shared" si="118"/>
        <v>0</v>
      </c>
      <c r="S215" s="316">
        <f t="shared" si="118"/>
        <v>0</v>
      </c>
      <c r="T215" s="316">
        <f t="shared" si="118"/>
        <v>0</v>
      </c>
      <c r="U215" s="316">
        <f t="shared" si="118"/>
        <v>0</v>
      </c>
      <c r="V215" s="316">
        <f t="shared" si="118"/>
        <v>0</v>
      </c>
      <c r="W215" s="316">
        <f t="shared" si="118"/>
        <v>0</v>
      </c>
      <c r="X215" s="316">
        <f t="shared" si="118"/>
        <v>0</v>
      </c>
      <c r="Y215" s="316">
        <f t="shared" si="118"/>
        <v>0</v>
      </c>
      <c r="Z215" s="316">
        <f t="shared" si="118"/>
        <v>0</v>
      </c>
      <c r="AA215" s="316">
        <f t="shared" si="118"/>
        <v>0</v>
      </c>
      <c r="AB215" s="316">
        <f t="shared" si="118"/>
        <v>0</v>
      </c>
      <c r="AC215" s="316">
        <f t="shared" si="118"/>
        <v>0</v>
      </c>
      <c r="AD215" s="316">
        <f t="shared" si="118"/>
        <v>0</v>
      </c>
      <c r="AE215" s="316">
        <f t="shared" si="118"/>
        <v>0</v>
      </c>
      <c r="AF215" s="316">
        <f t="shared" si="118"/>
        <v>0</v>
      </c>
      <c r="AG215" s="316">
        <f t="shared" si="118"/>
        <v>0</v>
      </c>
      <c r="AH215" s="316">
        <f t="shared" si="118"/>
        <v>0</v>
      </c>
      <c r="AI215" s="316">
        <f t="shared" si="118"/>
        <v>0</v>
      </c>
      <c r="AJ215" s="316">
        <f t="shared" si="118"/>
        <v>0</v>
      </c>
      <c r="AK215" s="316">
        <f t="shared" si="118"/>
        <v>0</v>
      </c>
      <c r="AL215" s="316">
        <f t="shared" si="118"/>
        <v>0</v>
      </c>
      <c r="AM215" s="316">
        <f t="shared" si="118"/>
        <v>0</v>
      </c>
      <c r="AN215" s="316">
        <f t="shared" si="118"/>
        <v>0</v>
      </c>
      <c r="AO215" s="316">
        <f t="shared" si="118"/>
        <v>0</v>
      </c>
      <c r="AP215" s="316">
        <f t="shared" si="118"/>
        <v>0</v>
      </c>
      <c r="AQ215" s="316">
        <f t="shared" si="118"/>
        <v>0</v>
      </c>
    </row>
    <row r="216" spans="1:43" s="144" customFormat="1" ht="13.35" customHeight="1" collapsed="1">
      <c r="A216" s="124"/>
      <c r="B216" s="142"/>
      <c r="C216" s="145"/>
      <c r="D216" s="322"/>
      <c r="E216" s="323"/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  <c r="T216" s="316"/>
      <c r="U216" s="316"/>
      <c r="V216" s="316"/>
      <c r="W216" s="316"/>
      <c r="X216" s="316"/>
      <c r="Y216" s="316"/>
      <c r="Z216" s="316"/>
      <c r="AA216" s="316"/>
      <c r="AB216" s="316"/>
      <c r="AC216" s="316"/>
      <c r="AD216" s="316"/>
      <c r="AE216" s="316"/>
      <c r="AF216" s="316"/>
      <c r="AG216" s="316"/>
      <c r="AH216" s="316"/>
      <c r="AI216" s="316"/>
      <c r="AJ216" s="316"/>
      <c r="AK216" s="316"/>
      <c r="AL216" s="316"/>
      <c r="AM216" s="316"/>
      <c r="AN216" s="316"/>
      <c r="AO216" s="316"/>
      <c r="AP216" s="316"/>
      <c r="AQ216" s="316"/>
    </row>
    <row r="217" spans="1:43" s="144" customFormat="1" ht="13.35" customHeight="1">
      <c r="A217" s="124"/>
      <c r="B217" s="142" t="str">
        <f>B142</f>
        <v>Future Farm Loans</v>
      </c>
      <c r="D217" s="322">
        <f>D142</f>
        <v>44104</v>
      </c>
      <c r="E217" s="323">
        <f>E142</f>
        <v>5</v>
      </c>
    </row>
    <row r="218" spans="1:43" customFormat="1" ht="13.35" customHeight="1">
      <c r="A218" s="124" t="s">
        <v>47</v>
      </c>
      <c r="B218" s="146" t="s">
        <v>37</v>
      </c>
      <c r="C218" s="145">
        <f>C143</f>
        <v>100000</v>
      </c>
      <c r="D218" s="145">
        <f t="shared" ref="D218:E218" si="119">D143</f>
        <v>200000</v>
      </c>
      <c r="E218" s="145">
        <f t="shared" si="119"/>
        <v>300000</v>
      </c>
      <c r="F218" s="316">
        <f t="shared" ref="F218:AQ218" si="120">$C$160*F74</f>
        <v>0</v>
      </c>
      <c r="G218" s="316">
        <f t="shared" si="120"/>
        <v>0</v>
      </c>
      <c r="H218" s="316">
        <f t="shared" si="120"/>
        <v>0</v>
      </c>
      <c r="I218" s="316">
        <f t="shared" si="120"/>
        <v>0</v>
      </c>
      <c r="J218" s="316">
        <f t="shared" si="120"/>
        <v>0</v>
      </c>
      <c r="K218" s="316">
        <f t="shared" si="120"/>
        <v>0</v>
      </c>
      <c r="L218" s="316">
        <f t="shared" si="120"/>
        <v>0</v>
      </c>
      <c r="M218" s="316">
        <f t="shared" si="120"/>
        <v>0</v>
      </c>
      <c r="N218" s="316">
        <f t="shared" si="120"/>
        <v>9000</v>
      </c>
      <c r="O218" s="316">
        <f t="shared" si="120"/>
        <v>9000</v>
      </c>
      <c r="P218" s="316">
        <f t="shared" si="120"/>
        <v>9000</v>
      </c>
      <c r="Q218" s="316">
        <f t="shared" si="120"/>
        <v>9000</v>
      </c>
      <c r="R218" s="316">
        <f t="shared" si="120"/>
        <v>78000</v>
      </c>
      <c r="S218" s="316">
        <f t="shared" si="120"/>
        <v>78000</v>
      </c>
      <c r="T218" s="316">
        <f t="shared" si="120"/>
        <v>78000</v>
      </c>
      <c r="U218" s="316">
        <f t="shared" si="120"/>
        <v>78000</v>
      </c>
      <c r="V218" s="316">
        <f t="shared" si="120"/>
        <v>78000</v>
      </c>
      <c r="W218" s="316">
        <f t="shared" si="120"/>
        <v>78000</v>
      </c>
      <c r="X218" s="316">
        <f t="shared" si="120"/>
        <v>78000</v>
      </c>
      <c r="Y218" s="316">
        <f t="shared" si="120"/>
        <v>78000</v>
      </c>
      <c r="Z218" s="316">
        <f t="shared" si="120"/>
        <v>78000</v>
      </c>
      <c r="AA218" s="316">
        <f t="shared" si="120"/>
        <v>78000</v>
      </c>
      <c r="AB218" s="316">
        <f t="shared" si="120"/>
        <v>78000</v>
      </c>
      <c r="AC218" s="316">
        <f t="shared" si="120"/>
        <v>78000</v>
      </c>
      <c r="AD218" s="316">
        <f t="shared" si="120"/>
        <v>315000</v>
      </c>
      <c r="AE218" s="316">
        <f t="shared" si="120"/>
        <v>315000</v>
      </c>
      <c r="AF218" s="316">
        <f t="shared" si="120"/>
        <v>315000</v>
      </c>
      <c r="AG218" s="316">
        <f t="shared" si="120"/>
        <v>315000</v>
      </c>
      <c r="AH218" s="316">
        <f t="shared" si="120"/>
        <v>315000</v>
      </c>
      <c r="AI218" s="316">
        <f t="shared" si="120"/>
        <v>315000</v>
      </c>
      <c r="AJ218" s="316">
        <f t="shared" si="120"/>
        <v>315000</v>
      </c>
      <c r="AK218" s="316">
        <f t="shared" si="120"/>
        <v>315000</v>
      </c>
      <c r="AL218" s="316">
        <f t="shared" si="120"/>
        <v>315000</v>
      </c>
      <c r="AM218" s="316">
        <f t="shared" si="120"/>
        <v>315000</v>
      </c>
      <c r="AN218" s="316">
        <f t="shared" si="120"/>
        <v>315000</v>
      </c>
      <c r="AO218" s="316">
        <f t="shared" si="120"/>
        <v>315000</v>
      </c>
      <c r="AP218" s="316">
        <f t="shared" si="120"/>
        <v>315000</v>
      </c>
      <c r="AQ218" s="316">
        <f t="shared" si="120"/>
        <v>315000</v>
      </c>
    </row>
    <row r="219" spans="1:43" customFormat="1" ht="13.35" customHeight="1">
      <c r="A219" s="124"/>
      <c r="B219" s="146"/>
      <c r="C219" s="145"/>
      <c r="D219" s="145"/>
      <c r="E219" s="145"/>
    </row>
    <row r="220" spans="1:43" ht="13.35" customHeight="1">
      <c r="B220" s="142" t="s">
        <v>162</v>
      </c>
      <c r="F220" s="331">
        <f t="shared" ref="F220:AQ220" si="121">F78+F79</f>
        <v>0</v>
      </c>
      <c r="G220" s="331">
        <f t="shared" si="121"/>
        <v>0</v>
      </c>
      <c r="H220" s="332">
        <f t="shared" si="121"/>
        <v>0</v>
      </c>
      <c r="I220" s="331">
        <f t="shared" si="121"/>
        <v>0</v>
      </c>
      <c r="J220" s="331">
        <f t="shared" si="121"/>
        <v>0</v>
      </c>
      <c r="K220" s="331">
        <f t="shared" si="121"/>
        <v>1</v>
      </c>
      <c r="L220" s="331">
        <f t="shared" si="121"/>
        <v>3</v>
      </c>
      <c r="M220" s="331">
        <f t="shared" si="121"/>
        <v>3</v>
      </c>
      <c r="N220" s="331">
        <f t="shared" si="121"/>
        <v>7</v>
      </c>
      <c r="O220" s="331">
        <f t="shared" si="121"/>
        <v>7</v>
      </c>
      <c r="P220" s="331">
        <f t="shared" si="121"/>
        <v>6</v>
      </c>
      <c r="Q220" s="331">
        <f t="shared" si="121"/>
        <v>3</v>
      </c>
      <c r="R220" s="331">
        <f t="shared" si="121"/>
        <v>13</v>
      </c>
      <c r="S220" s="332">
        <f t="shared" si="121"/>
        <v>13</v>
      </c>
      <c r="T220" s="333">
        <f t="shared" si="121"/>
        <v>13</v>
      </c>
      <c r="U220" s="331">
        <f t="shared" si="121"/>
        <v>13</v>
      </c>
      <c r="V220" s="331">
        <f t="shared" si="121"/>
        <v>13</v>
      </c>
      <c r="W220" s="331">
        <f t="shared" si="121"/>
        <v>13</v>
      </c>
      <c r="X220" s="331">
        <f t="shared" si="121"/>
        <v>13</v>
      </c>
      <c r="Y220" s="331">
        <f t="shared" si="121"/>
        <v>13</v>
      </c>
      <c r="Z220" s="331">
        <f t="shared" si="121"/>
        <v>13</v>
      </c>
      <c r="AA220" s="331">
        <f t="shared" si="121"/>
        <v>13</v>
      </c>
      <c r="AB220" s="331">
        <f t="shared" si="121"/>
        <v>13</v>
      </c>
      <c r="AC220" s="331">
        <f t="shared" si="121"/>
        <v>13</v>
      </c>
      <c r="AD220" s="331">
        <f t="shared" si="121"/>
        <v>35</v>
      </c>
      <c r="AE220" s="331">
        <f t="shared" si="121"/>
        <v>35</v>
      </c>
      <c r="AF220" s="333">
        <f t="shared" si="121"/>
        <v>35</v>
      </c>
      <c r="AG220" s="331">
        <f t="shared" si="121"/>
        <v>35</v>
      </c>
      <c r="AH220" s="331">
        <f t="shared" si="121"/>
        <v>35</v>
      </c>
      <c r="AI220" s="331">
        <f t="shared" si="121"/>
        <v>35</v>
      </c>
      <c r="AJ220" s="331">
        <f t="shared" si="121"/>
        <v>35</v>
      </c>
      <c r="AK220" s="331">
        <f t="shared" si="121"/>
        <v>35</v>
      </c>
      <c r="AL220" s="331">
        <f t="shared" si="121"/>
        <v>35</v>
      </c>
      <c r="AM220" s="331">
        <f t="shared" si="121"/>
        <v>35</v>
      </c>
      <c r="AN220" s="331">
        <f t="shared" si="121"/>
        <v>35</v>
      </c>
      <c r="AO220" s="331">
        <f t="shared" si="121"/>
        <v>35</v>
      </c>
      <c r="AP220" s="331">
        <f t="shared" si="121"/>
        <v>35</v>
      </c>
      <c r="AQ220" s="331">
        <f t="shared" si="121"/>
        <v>35</v>
      </c>
    </row>
    <row r="221" spans="1:43" ht="13.35" customHeight="1">
      <c r="B221" s="142" t="s">
        <v>163</v>
      </c>
      <c r="C221" s="334">
        <f>C160</f>
        <v>0.03</v>
      </c>
      <c r="D221"/>
      <c r="E221"/>
      <c r="F221" s="316">
        <f t="shared" ref="F221:AQ221" si="122">SUM(F161:F218)</f>
        <v>0</v>
      </c>
      <c r="G221" s="318">
        <f t="shared" si="122"/>
        <v>0</v>
      </c>
      <c r="H221" s="316">
        <f t="shared" si="122"/>
        <v>0</v>
      </c>
      <c r="I221" s="316">
        <f t="shared" si="122"/>
        <v>0</v>
      </c>
      <c r="J221" s="316">
        <f t="shared" si="122"/>
        <v>0</v>
      </c>
      <c r="K221" s="316">
        <f t="shared" si="122"/>
        <v>9000</v>
      </c>
      <c r="L221" s="316">
        <f t="shared" si="122"/>
        <v>75000</v>
      </c>
      <c r="M221" s="316">
        <f t="shared" si="122"/>
        <v>40500</v>
      </c>
      <c r="N221" s="316">
        <f t="shared" si="122"/>
        <v>120000</v>
      </c>
      <c r="O221" s="316">
        <f t="shared" si="122"/>
        <v>54000</v>
      </c>
      <c r="P221" s="316">
        <f t="shared" si="122"/>
        <v>31500</v>
      </c>
      <c r="Q221" s="316">
        <f t="shared" si="122"/>
        <v>9000</v>
      </c>
      <c r="R221" s="316">
        <f t="shared" si="122"/>
        <v>78000</v>
      </c>
      <c r="S221" s="316">
        <f t="shared" si="122"/>
        <v>78000</v>
      </c>
      <c r="T221" s="316">
        <f t="shared" si="122"/>
        <v>78000</v>
      </c>
      <c r="U221" s="316">
        <f t="shared" si="122"/>
        <v>78000</v>
      </c>
      <c r="V221" s="316">
        <f t="shared" si="122"/>
        <v>78000</v>
      </c>
      <c r="W221" s="316">
        <f t="shared" si="122"/>
        <v>78000</v>
      </c>
      <c r="X221" s="316">
        <f t="shared" si="122"/>
        <v>78000</v>
      </c>
      <c r="Y221" s="316">
        <f t="shared" si="122"/>
        <v>78000</v>
      </c>
      <c r="Z221" s="316">
        <f t="shared" si="122"/>
        <v>78000</v>
      </c>
      <c r="AA221" s="316">
        <f t="shared" si="122"/>
        <v>78000</v>
      </c>
      <c r="AB221" s="316">
        <f t="shared" si="122"/>
        <v>78000</v>
      </c>
      <c r="AC221" s="316">
        <f t="shared" si="122"/>
        <v>78000</v>
      </c>
      <c r="AD221" s="316">
        <f t="shared" si="122"/>
        <v>315000</v>
      </c>
      <c r="AE221" s="316">
        <f t="shared" si="122"/>
        <v>315000</v>
      </c>
      <c r="AF221" s="316">
        <f t="shared" si="122"/>
        <v>315000</v>
      </c>
      <c r="AG221" s="316">
        <f t="shared" si="122"/>
        <v>315000</v>
      </c>
      <c r="AH221" s="316">
        <f t="shared" si="122"/>
        <v>315000</v>
      </c>
      <c r="AI221" s="316">
        <f t="shared" si="122"/>
        <v>315000</v>
      </c>
      <c r="AJ221" s="316">
        <f t="shared" si="122"/>
        <v>315000</v>
      </c>
      <c r="AK221" s="316">
        <f t="shared" si="122"/>
        <v>315000</v>
      </c>
      <c r="AL221" s="316">
        <f t="shared" si="122"/>
        <v>315000</v>
      </c>
      <c r="AM221" s="316">
        <f t="shared" si="122"/>
        <v>315000</v>
      </c>
      <c r="AN221" s="316">
        <f t="shared" si="122"/>
        <v>315000</v>
      </c>
      <c r="AO221" s="316">
        <f t="shared" si="122"/>
        <v>315000</v>
      </c>
      <c r="AP221" s="316">
        <f t="shared" si="122"/>
        <v>315000</v>
      </c>
      <c r="AQ221" s="316">
        <f t="shared" si="122"/>
        <v>315000</v>
      </c>
    </row>
    <row r="222" spans="1:43" ht="13.35" customHeight="1">
      <c r="B222" s="161" t="s">
        <v>164</v>
      </c>
      <c r="C222" s="656">
        <f>'Model Drivers'!$C$25</f>
        <v>4000</v>
      </c>
      <c r="D222"/>
      <c r="E222"/>
      <c r="F222" s="315">
        <f>F220*$C$222</f>
        <v>0</v>
      </c>
      <c r="G222" s="315">
        <f t="shared" ref="G222:AQ222" si="123">G220*$C$222</f>
        <v>0</v>
      </c>
      <c r="H222" s="315">
        <f t="shared" si="123"/>
        <v>0</v>
      </c>
      <c r="I222" s="315">
        <f t="shared" si="123"/>
        <v>0</v>
      </c>
      <c r="J222" s="315">
        <f t="shared" si="123"/>
        <v>0</v>
      </c>
      <c r="K222" s="315">
        <f t="shared" si="123"/>
        <v>4000</v>
      </c>
      <c r="L222" s="315">
        <f t="shared" si="123"/>
        <v>12000</v>
      </c>
      <c r="M222" s="315">
        <f t="shared" si="123"/>
        <v>12000</v>
      </c>
      <c r="N222" s="315">
        <f t="shared" si="123"/>
        <v>28000</v>
      </c>
      <c r="O222" s="315">
        <f t="shared" si="123"/>
        <v>28000</v>
      </c>
      <c r="P222" s="315">
        <f t="shared" si="123"/>
        <v>24000</v>
      </c>
      <c r="Q222" s="315">
        <f t="shared" si="123"/>
        <v>12000</v>
      </c>
      <c r="R222" s="315">
        <f t="shared" si="123"/>
        <v>52000</v>
      </c>
      <c r="S222" s="315">
        <f t="shared" si="123"/>
        <v>52000</v>
      </c>
      <c r="T222" s="315">
        <f t="shared" si="123"/>
        <v>52000</v>
      </c>
      <c r="U222" s="315">
        <f t="shared" si="123"/>
        <v>52000</v>
      </c>
      <c r="V222" s="315">
        <f t="shared" si="123"/>
        <v>52000</v>
      </c>
      <c r="W222" s="315">
        <f t="shared" si="123"/>
        <v>52000</v>
      </c>
      <c r="X222" s="315">
        <f t="shared" si="123"/>
        <v>52000</v>
      </c>
      <c r="Y222" s="315">
        <f t="shared" si="123"/>
        <v>52000</v>
      </c>
      <c r="Z222" s="315">
        <f t="shared" si="123"/>
        <v>52000</v>
      </c>
      <c r="AA222" s="315">
        <f t="shared" si="123"/>
        <v>52000</v>
      </c>
      <c r="AB222" s="315">
        <f t="shared" si="123"/>
        <v>52000</v>
      </c>
      <c r="AC222" s="315">
        <f t="shared" si="123"/>
        <v>52000</v>
      </c>
      <c r="AD222" s="315">
        <f t="shared" si="123"/>
        <v>140000</v>
      </c>
      <c r="AE222" s="315">
        <f t="shared" si="123"/>
        <v>140000</v>
      </c>
      <c r="AF222" s="315">
        <f t="shared" si="123"/>
        <v>140000</v>
      </c>
      <c r="AG222" s="315">
        <f t="shared" si="123"/>
        <v>140000</v>
      </c>
      <c r="AH222" s="315">
        <f t="shared" si="123"/>
        <v>140000</v>
      </c>
      <c r="AI222" s="315">
        <f t="shared" si="123"/>
        <v>140000</v>
      </c>
      <c r="AJ222" s="315">
        <f t="shared" si="123"/>
        <v>140000</v>
      </c>
      <c r="AK222" s="315">
        <f t="shared" si="123"/>
        <v>140000</v>
      </c>
      <c r="AL222" s="315">
        <f t="shared" si="123"/>
        <v>140000</v>
      </c>
      <c r="AM222" s="315">
        <f t="shared" si="123"/>
        <v>140000</v>
      </c>
      <c r="AN222" s="315">
        <f t="shared" si="123"/>
        <v>140000</v>
      </c>
      <c r="AO222" s="315">
        <f t="shared" si="123"/>
        <v>140000</v>
      </c>
      <c r="AP222" s="315">
        <f t="shared" si="123"/>
        <v>140000</v>
      </c>
      <c r="AQ222" s="315">
        <f t="shared" si="123"/>
        <v>140000</v>
      </c>
    </row>
    <row r="223" spans="1:43" ht="13.35" customHeight="1">
      <c r="A223" s="124" t="s">
        <v>47</v>
      </c>
      <c r="B223" s="151" t="s">
        <v>165</v>
      </c>
      <c r="C223" s="152"/>
      <c r="D223" s="152"/>
      <c r="E223" s="152"/>
      <c r="F223" s="198">
        <f t="shared" ref="F223:AQ223" si="124">SUM(F221:F222)</f>
        <v>0</v>
      </c>
      <c r="G223" s="198">
        <f t="shared" si="124"/>
        <v>0</v>
      </c>
      <c r="H223" s="198">
        <f t="shared" si="124"/>
        <v>0</v>
      </c>
      <c r="I223" s="198">
        <f t="shared" si="124"/>
        <v>0</v>
      </c>
      <c r="J223" s="198">
        <f t="shared" si="124"/>
        <v>0</v>
      </c>
      <c r="K223" s="198">
        <f t="shared" si="124"/>
        <v>13000</v>
      </c>
      <c r="L223" s="198">
        <f t="shared" si="124"/>
        <v>87000</v>
      </c>
      <c r="M223" s="198">
        <f t="shared" si="124"/>
        <v>52500</v>
      </c>
      <c r="N223" s="198">
        <f t="shared" si="124"/>
        <v>148000</v>
      </c>
      <c r="O223" s="198">
        <f t="shared" si="124"/>
        <v>82000</v>
      </c>
      <c r="P223" s="198">
        <f t="shared" si="124"/>
        <v>55500</v>
      </c>
      <c r="Q223" s="198">
        <f t="shared" si="124"/>
        <v>21000</v>
      </c>
      <c r="R223" s="198">
        <f t="shared" si="124"/>
        <v>130000</v>
      </c>
      <c r="S223" s="198">
        <f t="shared" si="124"/>
        <v>130000</v>
      </c>
      <c r="T223" s="197">
        <f t="shared" si="124"/>
        <v>130000</v>
      </c>
      <c r="U223" s="198">
        <f t="shared" si="124"/>
        <v>130000</v>
      </c>
      <c r="V223" s="198">
        <f t="shared" si="124"/>
        <v>130000</v>
      </c>
      <c r="W223" s="198">
        <f t="shared" si="124"/>
        <v>130000</v>
      </c>
      <c r="X223" s="198">
        <f t="shared" si="124"/>
        <v>130000</v>
      </c>
      <c r="Y223" s="198">
        <f t="shared" si="124"/>
        <v>130000</v>
      </c>
      <c r="Z223" s="198">
        <f t="shared" si="124"/>
        <v>130000</v>
      </c>
      <c r="AA223" s="198">
        <f t="shared" si="124"/>
        <v>130000</v>
      </c>
      <c r="AB223" s="198">
        <f t="shared" si="124"/>
        <v>130000</v>
      </c>
      <c r="AC223" s="198">
        <f t="shared" si="124"/>
        <v>130000</v>
      </c>
      <c r="AD223" s="198">
        <f t="shared" si="124"/>
        <v>455000</v>
      </c>
      <c r="AE223" s="198">
        <f t="shared" si="124"/>
        <v>455000</v>
      </c>
      <c r="AF223" s="197">
        <f t="shared" si="124"/>
        <v>455000</v>
      </c>
      <c r="AG223" s="198">
        <f t="shared" si="124"/>
        <v>455000</v>
      </c>
      <c r="AH223" s="198">
        <f t="shared" si="124"/>
        <v>455000</v>
      </c>
      <c r="AI223" s="198">
        <f t="shared" si="124"/>
        <v>455000</v>
      </c>
      <c r="AJ223" s="198">
        <f t="shared" si="124"/>
        <v>455000</v>
      </c>
      <c r="AK223" s="198">
        <f t="shared" si="124"/>
        <v>455000</v>
      </c>
      <c r="AL223" s="198">
        <f t="shared" si="124"/>
        <v>455000</v>
      </c>
      <c r="AM223" s="198">
        <f t="shared" si="124"/>
        <v>455000</v>
      </c>
      <c r="AN223" s="198">
        <f t="shared" si="124"/>
        <v>455000</v>
      </c>
      <c r="AO223" s="198">
        <f t="shared" si="124"/>
        <v>455000</v>
      </c>
      <c r="AP223" s="198">
        <f t="shared" si="124"/>
        <v>455000</v>
      </c>
      <c r="AQ223" s="198">
        <f t="shared" si="124"/>
        <v>455000</v>
      </c>
    </row>
    <row r="224" spans="1:43" s="46" customFormat="1" ht="13.35" customHeight="1"/>
    <row r="225" spans="1:43" ht="13.35" customHeight="1">
      <c r="A225" s="124" t="s">
        <v>47</v>
      </c>
      <c r="B225" s="133" t="s">
        <v>171</v>
      </c>
      <c r="C225" s="157"/>
      <c r="D225" s="157"/>
      <c r="E225" s="157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7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7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</row>
    <row r="226" spans="1:43" ht="13.35" customHeight="1">
      <c r="C226" s="5"/>
      <c r="D226" s="5"/>
      <c r="E226" s="5"/>
      <c r="F226" s="138"/>
      <c r="G226" s="305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40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40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</row>
    <row r="227" spans="1:43" ht="13.35" customHeight="1">
      <c r="B227" s="12" t="s">
        <v>170</v>
      </c>
      <c r="C227" s="353">
        <f>C11</f>
        <v>43831</v>
      </c>
      <c r="D227" s="353">
        <f>D11</f>
        <v>44197</v>
      </c>
      <c r="E227" s="353">
        <f>E11</f>
        <v>44562</v>
      </c>
      <c r="F227" s="138"/>
      <c r="G227" s="305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40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40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</row>
    <row r="228" spans="1:43" ht="13.35" customHeight="1">
      <c r="B228" s="12" t="s">
        <v>368</v>
      </c>
      <c r="C228" s="659">
        <f>'Model Drivers'!C30</f>
        <v>0.8</v>
      </c>
      <c r="D228" s="659">
        <f>'Model Drivers'!D30</f>
        <v>1</v>
      </c>
      <c r="E228" s="659">
        <f>'Model Drivers'!E30</f>
        <v>1.5</v>
      </c>
      <c r="F228" s="138"/>
      <c r="G228" s="305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40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</row>
    <row r="229" spans="1:43" ht="13.35" customHeight="1">
      <c r="B229" s="12" t="s">
        <v>172</v>
      </c>
      <c r="C229" s="657">
        <f>C77*C228</f>
        <v>2.4E-2</v>
      </c>
      <c r="D229" s="657">
        <f>D77*D228</f>
        <v>0.05</v>
      </c>
      <c r="E229" s="657">
        <f>E77*E228</f>
        <v>0.10500000000000001</v>
      </c>
      <c r="F229" s="138"/>
      <c r="G229" s="305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40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</row>
    <row r="230" spans="1:43" ht="13.35" customHeight="1">
      <c r="B230" s="12" t="s">
        <v>173</v>
      </c>
      <c r="C230" s="660">
        <f>'Model Drivers'!C32</f>
        <v>99</v>
      </c>
      <c r="D230" s="660">
        <f>'Model Drivers'!D32</f>
        <v>149</v>
      </c>
      <c r="E230" s="660">
        <f>'Model Drivers'!E32</f>
        <v>199</v>
      </c>
      <c r="F230" s="138"/>
      <c r="G230" s="305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40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40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</row>
    <row r="231" spans="1:43" ht="13.35" customHeight="1">
      <c r="B231" s="5" t="s">
        <v>180</v>
      </c>
      <c r="D231"/>
      <c r="E231"/>
      <c r="F231" s="144"/>
      <c r="G231" s="160"/>
      <c r="H231" s="144"/>
      <c r="I231" s="144"/>
      <c r="J231" s="144"/>
      <c r="K231" s="150">
        <v>0</v>
      </c>
      <c r="L231" s="123">
        <f>K234</f>
        <v>2</v>
      </c>
      <c r="M231" s="123">
        <f t="shared" ref="M231:AQ231" si="125">L234</f>
        <v>4</v>
      </c>
      <c r="N231" s="123">
        <f t="shared" si="125"/>
        <v>6</v>
      </c>
      <c r="O231" s="123">
        <f t="shared" si="125"/>
        <v>8.0749999999999993</v>
      </c>
      <c r="P231" s="123">
        <f t="shared" si="125"/>
        <v>10.074999999999999</v>
      </c>
      <c r="Q231" s="123">
        <f t="shared" si="125"/>
        <v>12.074999999999999</v>
      </c>
      <c r="R231" s="123">
        <f t="shared" si="125"/>
        <v>14.074999999999999</v>
      </c>
      <c r="S231" s="123">
        <f t="shared" si="125"/>
        <v>27.074999999999999</v>
      </c>
      <c r="T231" s="123">
        <f t="shared" si="125"/>
        <v>40.075000000000003</v>
      </c>
      <c r="U231" s="123">
        <f t="shared" si="125"/>
        <v>53.075000000000003</v>
      </c>
      <c r="V231" s="123">
        <f t="shared" si="125"/>
        <v>67.075000000000003</v>
      </c>
      <c r="W231" s="123">
        <f t="shared" si="125"/>
        <v>81.075000000000003</v>
      </c>
      <c r="X231" s="123">
        <f t="shared" si="125"/>
        <v>95.075000000000003</v>
      </c>
      <c r="Y231" s="123">
        <f t="shared" si="125"/>
        <v>109.075</v>
      </c>
      <c r="Z231" s="123">
        <f t="shared" si="125"/>
        <v>123.075</v>
      </c>
      <c r="AA231" s="123">
        <f t="shared" si="125"/>
        <v>137.07499999999999</v>
      </c>
      <c r="AB231" s="123">
        <f t="shared" si="125"/>
        <v>151.07499999999999</v>
      </c>
      <c r="AC231" s="123">
        <f t="shared" si="125"/>
        <v>166.07499999999999</v>
      </c>
      <c r="AD231" s="123">
        <f t="shared" si="125"/>
        <v>181.07499999999999</v>
      </c>
      <c r="AE231" s="123">
        <f t="shared" si="125"/>
        <v>236.07499999999999</v>
      </c>
      <c r="AF231" s="123">
        <f t="shared" si="125"/>
        <v>291.07499999999999</v>
      </c>
      <c r="AG231" s="123">
        <f t="shared" si="125"/>
        <v>347.07499999999999</v>
      </c>
      <c r="AH231" s="123">
        <f t="shared" si="125"/>
        <v>403.07499999999999</v>
      </c>
      <c r="AI231" s="123">
        <f t="shared" si="125"/>
        <v>460.07499999999999</v>
      </c>
      <c r="AJ231" s="123">
        <f t="shared" si="125"/>
        <v>517.07500000000005</v>
      </c>
      <c r="AK231" s="123">
        <f t="shared" si="125"/>
        <v>575.07500000000005</v>
      </c>
      <c r="AL231" s="123">
        <f t="shared" si="125"/>
        <v>633.07500000000005</v>
      </c>
      <c r="AM231" s="123">
        <f t="shared" si="125"/>
        <v>692.07500000000005</v>
      </c>
      <c r="AN231" s="123">
        <f t="shared" si="125"/>
        <v>751.07500000000005</v>
      </c>
      <c r="AO231" s="123">
        <f t="shared" si="125"/>
        <v>811.07500000000005</v>
      </c>
      <c r="AP231" s="123">
        <f t="shared" si="125"/>
        <v>871.07500000000005</v>
      </c>
      <c r="AQ231" s="123">
        <f t="shared" si="125"/>
        <v>932.07500000000005</v>
      </c>
    </row>
    <row r="232" spans="1:43" ht="13.35" customHeight="1">
      <c r="B232" s="360" t="s">
        <v>181</v>
      </c>
      <c r="D232"/>
      <c r="E232"/>
      <c r="F232" s="150"/>
      <c r="G232" s="150"/>
      <c r="H232" s="123"/>
      <c r="I232" s="150"/>
      <c r="J232" s="150"/>
      <c r="K232" s="150">
        <f t="shared" ref="K232:AQ232" si="126">IF(K$5&lt;=$D$11,ROUND($C229*K$12,0),IF(K$5&lt;=$E$11,ROUND($D229*K$12,0),ROUND($E229*K$12,0)))</f>
        <v>2</v>
      </c>
      <c r="L232" s="150">
        <f t="shared" si="126"/>
        <v>2</v>
      </c>
      <c r="M232" s="150">
        <f t="shared" si="126"/>
        <v>2</v>
      </c>
      <c r="N232" s="150">
        <f t="shared" si="126"/>
        <v>2</v>
      </c>
      <c r="O232" s="150">
        <f t="shared" si="126"/>
        <v>2</v>
      </c>
      <c r="P232" s="150">
        <f t="shared" si="126"/>
        <v>2</v>
      </c>
      <c r="Q232" s="150">
        <f t="shared" si="126"/>
        <v>2</v>
      </c>
      <c r="R232" s="150">
        <f t="shared" si="126"/>
        <v>13</v>
      </c>
      <c r="S232" s="150">
        <f t="shared" si="126"/>
        <v>13</v>
      </c>
      <c r="T232" s="150">
        <f t="shared" si="126"/>
        <v>13</v>
      </c>
      <c r="U232" s="150">
        <f t="shared" si="126"/>
        <v>13</v>
      </c>
      <c r="V232" s="150">
        <f t="shared" si="126"/>
        <v>13</v>
      </c>
      <c r="W232" s="150">
        <f t="shared" si="126"/>
        <v>13</v>
      </c>
      <c r="X232" s="150">
        <f t="shared" si="126"/>
        <v>13</v>
      </c>
      <c r="Y232" s="150">
        <f t="shared" si="126"/>
        <v>13</v>
      </c>
      <c r="Z232" s="150">
        <f t="shared" si="126"/>
        <v>13</v>
      </c>
      <c r="AA232" s="150">
        <f t="shared" si="126"/>
        <v>13</v>
      </c>
      <c r="AB232" s="150">
        <f t="shared" si="126"/>
        <v>13</v>
      </c>
      <c r="AC232" s="150">
        <f t="shared" si="126"/>
        <v>13</v>
      </c>
      <c r="AD232" s="150">
        <f t="shared" si="126"/>
        <v>53</v>
      </c>
      <c r="AE232" s="150">
        <f t="shared" si="126"/>
        <v>53</v>
      </c>
      <c r="AF232" s="150">
        <f t="shared" si="126"/>
        <v>53</v>
      </c>
      <c r="AG232" s="150">
        <f t="shared" si="126"/>
        <v>53</v>
      </c>
      <c r="AH232" s="150">
        <f t="shared" si="126"/>
        <v>53</v>
      </c>
      <c r="AI232" s="150">
        <f t="shared" si="126"/>
        <v>53</v>
      </c>
      <c r="AJ232" s="150">
        <f t="shared" si="126"/>
        <v>53</v>
      </c>
      <c r="AK232" s="150">
        <f t="shared" si="126"/>
        <v>53</v>
      </c>
      <c r="AL232" s="150">
        <f t="shared" si="126"/>
        <v>53</v>
      </c>
      <c r="AM232" s="150">
        <f t="shared" si="126"/>
        <v>53</v>
      </c>
      <c r="AN232" s="150">
        <f t="shared" si="126"/>
        <v>53</v>
      </c>
      <c r="AO232" s="150">
        <f t="shared" si="126"/>
        <v>53</v>
      </c>
      <c r="AP232" s="150">
        <f t="shared" si="126"/>
        <v>53</v>
      </c>
      <c r="AQ232" s="150">
        <f t="shared" si="126"/>
        <v>53</v>
      </c>
    </row>
    <row r="233" spans="1:43" s="144" customFormat="1" ht="13.35" customHeight="1">
      <c r="A233" s="124"/>
      <c r="B233" s="360" t="s">
        <v>183</v>
      </c>
      <c r="C233" s="659">
        <f>'Model Drivers'!C33</f>
        <v>0.15</v>
      </c>
      <c r="D233" s="659">
        <f>'Model Drivers'!D33</f>
        <v>0.13</v>
      </c>
      <c r="E233" s="659">
        <f>'Model Drivers'!E33</f>
        <v>0.11</v>
      </c>
      <c r="F233" s="150"/>
      <c r="G233" s="150"/>
      <c r="H233" s="123"/>
      <c r="I233" s="150"/>
      <c r="J233" s="150"/>
      <c r="K233" s="150">
        <v>0</v>
      </c>
      <c r="L233" s="150">
        <v>0</v>
      </c>
      <c r="M233" s="150">
        <v>0</v>
      </c>
      <c r="N233" s="150">
        <f>IF(N$5&lt;=$D$11,$C233/12,IF(N$5&lt;=$E$11,$D233/12,$E233/12))*M234</f>
        <v>7.4999999999999997E-2</v>
      </c>
      <c r="O233" s="150">
        <f t="shared" ref="O233:AQ233" si="127">ROUND(IF(O$5&lt;=$D$11,$C233/12,IF(O$5&lt;=$E$11,$D233/12,$E233/12))*N234,0)</f>
        <v>0</v>
      </c>
      <c r="P233" s="150">
        <f t="shared" si="127"/>
        <v>0</v>
      </c>
      <c r="Q233" s="150">
        <f t="shared" si="127"/>
        <v>0</v>
      </c>
      <c r="R233" s="150">
        <f t="shared" si="127"/>
        <v>0</v>
      </c>
      <c r="S233" s="150">
        <f t="shared" si="127"/>
        <v>0</v>
      </c>
      <c r="T233" s="150">
        <f t="shared" si="127"/>
        <v>0</v>
      </c>
      <c r="U233" s="150">
        <f t="shared" si="127"/>
        <v>1</v>
      </c>
      <c r="V233" s="150">
        <f t="shared" si="127"/>
        <v>1</v>
      </c>
      <c r="W233" s="150">
        <f t="shared" si="127"/>
        <v>1</v>
      </c>
      <c r="X233" s="150">
        <f t="shared" si="127"/>
        <v>1</v>
      </c>
      <c r="Y233" s="150">
        <f t="shared" si="127"/>
        <v>1</v>
      </c>
      <c r="Z233" s="150">
        <f t="shared" si="127"/>
        <v>1</v>
      </c>
      <c r="AA233" s="150">
        <f t="shared" si="127"/>
        <v>1</v>
      </c>
      <c r="AB233" s="150">
        <f t="shared" si="127"/>
        <v>2</v>
      </c>
      <c r="AC233" s="150">
        <f t="shared" si="127"/>
        <v>2</v>
      </c>
      <c r="AD233" s="150">
        <f t="shared" si="127"/>
        <v>2</v>
      </c>
      <c r="AE233" s="150">
        <f t="shared" si="127"/>
        <v>2</v>
      </c>
      <c r="AF233" s="150">
        <f t="shared" si="127"/>
        <v>3</v>
      </c>
      <c r="AG233" s="150">
        <f t="shared" si="127"/>
        <v>3</v>
      </c>
      <c r="AH233" s="150">
        <f t="shared" si="127"/>
        <v>4</v>
      </c>
      <c r="AI233" s="150">
        <f t="shared" si="127"/>
        <v>4</v>
      </c>
      <c r="AJ233" s="150">
        <f t="shared" si="127"/>
        <v>5</v>
      </c>
      <c r="AK233" s="150">
        <f t="shared" si="127"/>
        <v>5</v>
      </c>
      <c r="AL233" s="150">
        <f t="shared" si="127"/>
        <v>6</v>
      </c>
      <c r="AM233" s="150">
        <f t="shared" si="127"/>
        <v>6</v>
      </c>
      <c r="AN233" s="150">
        <f t="shared" si="127"/>
        <v>7</v>
      </c>
      <c r="AO233" s="150">
        <f t="shared" si="127"/>
        <v>7</v>
      </c>
      <c r="AP233" s="150">
        <f t="shared" si="127"/>
        <v>8</v>
      </c>
      <c r="AQ233" s="150">
        <f t="shared" si="127"/>
        <v>9</v>
      </c>
    </row>
    <row r="234" spans="1:43" s="144" customFormat="1" ht="13.35" customHeight="1">
      <c r="A234" s="124"/>
      <c r="B234" s="357" t="s">
        <v>182</v>
      </c>
      <c r="C234" s="303"/>
      <c r="D234" s="1"/>
      <c r="E234" s="1"/>
      <c r="F234" s="363"/>
      <c r="G234" s="363"/>
      <c r="H234" s="363"/>
      <c r="I234" s="363"/>
      <c r="J234" s="363"/>
      <c r="K234" s="359">
        <f>SUM(K231:K233)</f>
        <v>2</v>
      </c>
      <c r="L234" s="359">
        <f t="shared" ref="L234:AQ234" si="128">SUM(L231:L233)</f>
        <v>4</v>
      </c>
      <c r="M234" s="359">
        <f t="shared" si="128"/>
        <v>6</v>
      </c>
      <c r="N234" s="359">
        <f t="shared" si="128"/>
        <v>8.0749999999999993</v>
      </c>
      <c r="O234" s="359">
        <f t="shared" si="128"/>
        <v>10.074999999999999</v>
      </c>
      <c r="P234" s="359">
        <f t="shared" si="128"/>
        <v>12.074999999999999</v>
      </c>
      <c r="Q234" s="359">
        <f t="shared" si="128"/>
        <v>14.074999999999999</v>
      </c>
      <c r="R234" s="359">
        <f t="shared" si="128"/>
        <v>27.074999999999999</v>
      </c>
      <c r="S234" s="359">
        <f t="shared" si="128"/>
        <v>40.075000000000003</v>
      </c>
      <c r="T234" s="359">
        <f t="shared" si="128"/>
        <v>53.075000000000003</v>
      </c>
      <c r="U234" s="359">
        <f t="shared" si="128"/>
        <v>67.075000000000003</v>
      </c>
      <c r="V234" s="359">
        <f t="shared" si="128"/>
        <v>81.075000000000003</v>
      </c>
      <c r="W234" s="359">
        <f t="shared" si="128"/>
        <v>95.075000000000003</v>
      </c>
      <c r="X234" s="359">
        <f t="shared" si="128"/>
        <v>109.075</v>
      </c>
      <c r="Y234" s="359">
        <f t="shared" si="128"/>
        <v>123.075</v>
      </c>
      <c r="Z234" s="359">
        <f t="shared" si="128"/>
        <v>137.07499999999999</v>
      </c>
      <c r="AA234" s="359">
        <f t="shared" si="128"/>
        <v>151.07499999999999</v>
      </c>
      <c r="AB234" s="359">
        <f t="shared" si="128"/>
        <v>166.07499999999999</v>
      </c>
      <c r="AC234" s="359">
        <f t="shared" si="128"/>
        <v>181.07499999999999</v>
      </c>
      <c r="AD234" s="359">
        <f t="shared" si="128"/>
        <v>236.07499999999999</v>
      </c>
      <c r="AE234" s="359">
        <f t="shared" si="128"/>
        <v>291.07499999999999</v>
      </c>
      <c r="AF234" s="359">
        <f t="shared" si="128"/>
        <v>347.07499999999999</v>
      </c>
      <c r="AG234" s="359">
        <f t="shared" si="128"/>
        <v>403.07499999999999</v>
      </c>
      <c r="AH234" s="359">
        <f t="shared" si="128"/>
        <v>460.07499999999999</v>
      </c>
      <c r="AI234" s="359">
        <f t="shared" si="128"/>
        <v>517.07500000000005</v>
      </c>
      <c r="AJ234" s="359">
        <f t="shared" si="128"/>
        <v>575.07500000000005</v>
      </c>
      <c r="AK234" s="359">
        <f t="shared" si="128"/>
        <v>633.07500000000005</v>
      </c>
      <c r="AL234" s="359">
        <f t="shared" si="128"/>
        <v>692.07500000000005</v>
      </c>
      <c r="AM234" s="359">
        <f t="shared" si="128"/>
        <v>751.07500000000005</v>
      </c>
      <c r="AN234" s="359">
        <f t="shared" si="128"/>
        <v>811.07500000000005</v>
      </c>
      <c r="AO234" s="359">
        <f t="shared" si="128"/>
        <v>871.07500000000005</v>
      </c>
      <c r="AP234" s="359">
        <f t="shared" si="128"/>
        <v>932.07500000000005</v>
      </c>
      <c r="AQ234" s="359">
        <f t="shared" si="128"/>
        <v>994.07500000000005</v>
      </c>
    </row>
    <row r="235" spans="1:43" s="144" customFormat="1" ht="13.35" customHeight="1">
      <c r="A235" s="124"/>
      <c r="F235" s="150"/>
      <c r="G235" s="150"/>
      <c r="H235" s="123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</row>
    <row r="236" spans="1:43" s="144" customFormat="1" ht="13.35" customHeight="1">
      <c r="A236" s="124"/>
      <c r="B236" s="325"/>
      <c r="C236" s="125"/>
      <c r="D236"/>
      <c r="E236"/>
      <c r="F236" s="150"/>
      <c r="G236" s="150"/>
      <c r="H236" s="123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</row>
    <row r="237" spans="1:43" s="144" customFormat="1" ht="13.35" customHeight="1">
      <c r="A237" s="124"/>
      <c r="B237" s="142" t="s">
        <v>173</v>
      </c>
      <c r="C237" s="125"/>
      <c r="D237"/>
      <c r="E237"/>
      <c r="F237" s="150"/>
      <c r="G237" s="150"/>
      <c r="H237" s="123"/>
      <c r="I237" s="150"/>
      <c r="J237" s="150"/>
      <c r="K237" s="354">
        <f t="shared" ref="K237:AQ237" si="129">IF(K$5&lt;=$D$11,$C230,IF(K$5&lt;=$E$11,$D230,$E230))</f>
        <v>99</v>
      </c>
      <c r="L237" s="354">
        <f t="shared" si="129"/>
        <v>99</v>
      </c>
      <c r="M237" s="354">
        <f t="shared" si="129"/>
        <v>99</v>
      </c>
      <c r="N237" s="354">
        <f t="shared" si="129"/>
        <v>99</v>
      </c>
      <c r="O237" s="354">
        <f t="shared" si="129"/>
        <v>99</v>
      </c>
      <c r="P237" s="354">
        <f t="shared" si="129"/>
        <v>99</v>
      </c>
      <c r="Q237" s="354">
        <f t="shared" si="129"/>
        <v>99</v>
      </c>
      <c r="R237" s="354">
        <f t="shared" si="129"/>
        <v>149</v>
      </c>
      <c r="S237" s="354">
        <f t="shared" si="129"/>
        <v>149</v>
      </c>
      <c r="T237" s="354">
        <f t="shared" si="129"/>
        <v>149</v>
      </c>
      <c r="U237" s="354">
        <f t="shared" si="129"/>
        <v>149</v>
      </c>
      <c r="V237" s="354">
        <f t="shared" si="129"/>
        <v>149</v>
      </c>
      <c r="W237" s="354">
        <f t="shared" si="129"/>
        <v>149</v>
      </c>
      <c r="X237" s="354">
        <f t="shared" si="129"/>
        <v>149</v>
      </c>
      <c r="Y237" s="354">
        <f t="shared" si="129"/>
        <v>149</v>
      </c>
      <c r="Z237" s="354">
        <f t="shared" si="129"/>
        <v>149</v>
      </c>
      <c r="AA237" s="354">
        <f t="shared" si="129"/>
        <v>149</v>
      </c>
      <c r="AB237" s="354">
        <f t="shared" si="129"/>
        <v>149</v>
      </c>
      <c r="AC237" s="354">
        <f t="shared" si="129"/>
        <v>149</v>
      </c>
      <c r="AD237" s="354">
        <f t="shared" si="129"/>
        <v>199</v>
      </c>
      <c r="AE237" s="354">
        <f t="shared" si="129"/>
        <v>199</v>
      </c>
      <c r="AF237" s="354">
        <f t="shared" si="129"/>
        <v>199</v>
      </c>
      <c r="AG237" s="354">
        <f t="shared" si="129"/>
        <v>199</v>
      </c>
      <c r="AH237" s="354">
        <f t="shared" si="129"/>
        <v>199</v>
      </c>
      <c r="AI237" s="354">
        <f t="shared" si="129"/>
        <v>199</v>
      </c>
      <c r="AJ237" s="354">
        <f t="shared" si="129"/>
        <v>199</v>
      </c>
      <c r="AK237" s="354">
        <f t="shared" si="129"/>
        <v>199</v>
      </c>
      <c r="AL237" s="354">
        <f t="shared" si="129"/>
        <v>199</v>
      </c>
      <c r="AM237" s="354">
        <f t="shared" si="129"/>
        <v>199</v>
      </c>
      <c r="AN237" s="354">
        <f t="shared" si="129"/>
        <v>199</v>
      </c>
      <c r="AO237" s="354">
        <f t="shared" si="129"/>
        <v>199</v>
      </c>
      <c r="AP237" s="354">
        <f t="shared" si="129"/>
        <v>199</v>
      </c>
      <c r="AQ237" s="354">
        <f t="shared" si="129"/>
        <v>199</v>
      </c>
    </row>
    <row r="238" spans="1:43" customFormat="1" ht="13.35" customHeight="1">
      <c r="A238" s="124"/>
    </row>
    <row r="239" spans="1:43" ht="13.35" customHeight="1">
      <c r="A239" s="124" t="s">
        <v>47</v>
      </c>
      <c r="B239" s="151" t="s">
        <v>171</v>
      </c>
      <c r="C239" s="152"/>
      <c r="D239" s="152"/>
      <c r="E239" s="152"/>
      <c r="F239" s="116"/>
      <c r="G239" s="151"/>
      <c r="H239" s="116"/>
      <c r="I239" s="116"/>
      <c r="J239" s="116"/>
      <c r="K239" s="364">
        <f>AVERAGE(K231,K234)*K237</f>
        <v>99</v>
      </c>
      <c r="L239" s="364">
        <f t="shared" ref="L239:AQ239" si="130">AVERAGE(L231,L234)*L237</f>
        <v>297</v>
      </c>
      <c r="M239" s="364">
        <f t="shared" si="130"/>
        <v>495</v>
      </c>
      <c r="N239" s="364">
        <f t="shared" si="130"/>
        <v>696.71249999999998</v>
      </c>
      <c r="O239" s="364">
        <f t="shared" si="130"/>
        <v>898.42499999999995</v>
      </c>
      <c r="P239" s="364">
        <f t="shared" si="130"/>
        <v>1096.425</v>
      </c>
      <c r="Q239" s="364">
        <f t="shared" si="130"/>
        <v>1294.425</v>
      </c>
      <c r="R239" s="364">
        <f t="shared" si="130"/>
        <v>3065.6749999999997</v>
      </c>
      <c r="S239" s="364">
        <f t="shared" si="130"/>
        <v>5002.6750000000002</v>
      </c>
      <c r="T239" s="364">
        <f t="shared" si="130"/>
        <v>6939.6750000000002</v>
      </c>
      <c r="U239" s="364">
        <f t="shared" si="130"/>
        <v>8951.1750000000011</v>
      </c>
      <c r="V239" s="364">
        <f t="shared" si="130"/>
        <v>11037.175000000001</v>
      </c>
      <c r="W239" s="364">
        <f t="shared" si="130"/>
        <v>13123.175000000001</v>
      </c>
      <c r="X239" s="364">
        <f t="shared" si="130"/>
        <v>15209.175000000001</v>
      </c>
      <c r="Y239" s="364">
        <f t="shared" si="130"/>
        <v>17295.174999999999</v>
      </c>
      <c r="Z239" s="364">
        <f t="shared" si="130"/>
        <v>19381.174999999999</v>
      </c>
      <c r="AA239" s="364">
        <f t="shared" si="130"/>
        <v>21467.174999999999</v>
      </c>
      <c r="AB239" s="364">
        <f t="shared" si="130"/>
        <v>23627.674999999999</v>
      </c>
      <c r="AC239" s="364">
        <f t="shared" si="130"/>
        <v>25862.674999999999</v>
      </c>
      <c r="AD239" s="364">
        <f t="shared" si="130"/>
        <v>41506.424999999996</v>
      </c>
      <c r="AE239" s="364">
        <f t="shared" si="130"/>
        <v>52451.424999999996</v>
      </c>
      <c r="AF239" s="364">
        <f t="shared" si="130"/>
        <v>63495.924999999996</v>
      </c>
      <c r="AG239" s="364">
        <f t="shared" si="130"/>
        <v>74639.925000000003</v>
      </c>
      <c r="AH239" s="364">
        <f t="shared" si="130"/>
        <v>85883.425000000003</v>
      </c>
      <c r="AI239" s="364">
        <f t="shared" si="130"/>
        <v>97226.425000000003</v>
      </c>
      <c r="AJ239" s="364">
        <f t="shared" si="130"/>
        <v>108668.925</v>
      </c>
      <c r="AK239" s="364">
        <f t="shared" si="130"/>
        <v>120210.925</v>
      </c>
      <c r="AL239" s="364">
        <f t="shared" si="130"/>
        <v>131852.42500000002</v>
      </c>
      <c r="AM239" s="364">
        <f t="shared" si="130"/>
        <v>143593.42500000002</v>
      </c>
      <c r="AN239" s="364">
        <f t="shared" si="130"/>
        <v>155433.92500000002</v>
      </c>
      <c r="AO239" s="364">
        <f t="shared" si="130"/>
        <v>167373.92500000002</v>
      </c>
      <c r="AP239" s="364">
        <f t="shared" si="130"/>
        <v>179413.42500000002</v>
      </c>
      <c r="AQ239" s="364">
        <f t="shared" si="130"/>
        <v>191651.92500000002</v>
      </c>
    </row>
    <row r="240" spans="1:43" customFormat="1" ht="13.35" customHeight="1"/>
    <row r="241" customFormat="1" ht="13.35" customHeight="1"/>
    <row r="242" customFormat="1" ht="13.35" customHeight="1"/>
    <row r="243" customFormat="1" ht="13.35" customHeight="1"/>
    <row r="244" customFormat="1" ht="13.35" customHeight="1"/>
    <row r="245" customFormat="1" ht="13.35" customHeight="1"/>
    <row r="246" customFormat="1" ht="13.35" customHeight="1"/>
    <row r="247" customFormat="1" ht="13.35" customHeight="1"/>
    <row r="248" customFormat="1" ht="13.35" customHeight="1"/>
    <row r="249" customFormat="1" ht="13.35" customHeight="1"/>
    <row r="250" customFormat="1" ht="13.35" customHeight="1"/>
    <row r="251" customFormat="1" ht="13.35" customHeight="1"/>
    <row r="252" customFormat="1" ht="13.35" customHeight="1"/>
    <row r="253" customFormat="1" ht="13.35" customHeight="1"/>
    <row r="254" customFormat="1" ht="13.35" customHeight="1"/>
    <row r="255" customFormat="1" ht="13.35" customHeight="1"/>
    <row r="256" customFormat="1" ht="13.35" customHeight="1"/>
    <row r="257" customFormat="1" ht="13.35" customHeight="1"/>
    <row r="258" customFormat="1" ht="13.35" customHeight="1"/>
    <row r="259" customFormat="1" ht="13.35" customHeight="1"/>
    <row r="260" customFormat="1" ht="13.35" customHeight="1"/>
    <row r="261" customFormat="1" ht="13.35" customHeight="1"/>
    <row r="262" customFormat="1" ht="13.35" customHeight="1"/>
    <row r="263" customFormat="1" ht="13.35" customHeight="1"/>
    <row r="264" customFormat="1" ht="13.35" customHeight="1"/>
    <row r="265" customFormat="1" ht="13.35" customHeight="1"/>
    <row r="266" customFormat="1" ht="13.35" customHeight="1"/>
    <row r="267" customFormat="1" ht="13.35" customHeight="1"/>
    <row r="268" customFormat="1" ht="13.35" customHeight="1"/>
    <row r="269" customFormat="1" ht="13.35" customHeight="1"/>
    <row r="270" customFormat="1" ht="13.35" customHeight="1"/>
    <row r="271" customFormat="1" ht="13.35" customHeight="1"/>
    <row r="272" customFormat="1" ht="13.35" customHeight="1"/>
    <row r="273" customFormat="1" ht="13.35" customHeight="1"/>
    <row r="274" customFormat="1" ht="13.35" customHeight="1"/>
    <row r="275" customFormat="1" ht="13.35" customHeight="1"/>
    <row r="276" customFormat="1" ht="13.35" customHeight="1"/>
    <row r="277" customFormat="1" ht="13.35" customHeight="1"/>
    <row r="278" customFormat="1" ht="13.35" customHeight="1"/>
    <row r="279" customFormat="1" ht="13.35" customHeight="1"/>
    <row r="280" customFormat="1" ht="13.35" customHeight="1"/>
    <row r="281" customFormat="1" ht="13.35" customHeight="1"/>
    <row r="282" customFormat="1" ht="13.35" customHeight="1"/>
    <row r="283" customFormat="1" ht="13.35" customHeight="1"/>
    <row r="284" customFormat="1" ht="13.35" customHeight="1"/>
    <row r="285" customFormat="1" ht="13.35" customHeight="1"/>
    <row r="286" customFormat="1" ht="13.35" customHeight="1"/>
    <row r="287" customFormat="1" ht="13.35" customHeight="1"/>
    <row r="288" customFormat="1" ht="13.35" customHeight="1"/>
    <row r="289" spans="25:25" customFormat="1" ht="13.35" customHeight="1"/>
    <row r="290" spans="25:25" customFormat="1" ht="13.35" customHeight="1"/>
    <row r="291" spans="25:25" customFormat="1" ht="13.35" customHeight="1"/>
    <row r="292" spans="25:25" customFormat="1" ht="13.35" customHeight="1"/>
    <row r="293" spans="25:25" customFormat="1" ht="13.35" customHeight="1"/>
    <row r="294" spans="25:25" customFormat="1" ht="13.35" customHeight="1"/>
    <row r="295" spans="25:25" customFormat="1" ht="13.35" customHeight="1"/>
    <row r="296" spans="25:25" customFormat="1" ht="13.35" customHeight="1"/>
    <row r="297" spans="25:25" customFormat="1" ht="13.35" customHeight="1"/>
    <row r="298" spans="25:25" customFormat="1" ht="13.35" customHeight="1"/>
    <row r="299" spans="25:25" customFormat="1" ht="13.35" customHeight="1"/>
    <row r="303" spans="25:25" ht="13.35" customHeight="1">
      <c r="Y303" s="196"/>
    </row>
    <row r="304" spans="25:25" ht="13.35" customHeight="1">
      <c r="Y304" s="196"/>
    </row>
    <row r="305" spans="25:25" ht="13.35" customHeight="1">
      <c r="Y305" s="196"/>
    </row>
    <row r="306" spans="25:25" ht="13.35" customHeight="1">
      <c r="Y306" s="196"/>
    </row>
    <row r="307" spans="25:25" ht="13.35" customHeight="1">
      <c r="Y307" s="196"/>
    </row>
    <row r="308" spans="25:25" ht="13.35" customHeight="1">
      <c r="Y308" s="196"/>
    </row>
    <row r="309" spans="25:25" ht="13.35" customHeight="1">
      <c r="Y309" s="196"/>
    </row>
    <row r="310" spans="25:25" ht="13.35" customHeight="1">
      <c r="Y310" s="196"/>
    </row>
  </sheetData>
  <pageMargins left="0.7" right="0.7" top="0.75" bottom="0.75" header="0.3" footer="0.3"/>
  <pageSetup scale="46" fitToHeight="0" orientation="landscape" r:id="rId1"/>
  <rowBreaks count="1" manualBreakCount="1">
    <brk id="157" max="16383" man="1"/>
  </rowBreaks>
  <colBreaks count="1" manualBreakCount="1">
    <brk id="1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043B-EB85-4C71-BC76-7D599329E06B}">
  <sheetPr>
    <tabColor rgb="FF00B0F0"/>
  </sheetPr>
  <dimension ref="A1:AP89"/>
  <sheetViews>
    <sheetView showGridLines="0" view="pageBreakPreview" zoomScale="70" zoomScaleNormal="100" zoomScaleSheetLayoutView="70" workbookViewId="0">
      <pane xSplit="3" ySplit="5" topLeftCell="AA23" activePane="bottomRight" state="frozen"/>
      <selection activeCell="L43" sqref="L43"/>
      <selection pane="topRight" activeCell="L43" sqref="L43"/>
      <selection pane="bottomLeft" activeCell="L43" sqref="L43"/>
      <selection pane="bottomRight" activeCell="AL63" sqref="AL63"/>
    </sheetView>
  </sheetViews>
  <sheetFormatPr defaultColWidth="8.7109375" defaultRowHeight="13.35" customHeight="1" outlineLevelCol="2"/>
  <cols>
    <col min="1" max="1" width="1.7109375" style="260" customWidth="1"/>
    <col min="2" max="2" width="54" style="260" bestFit="1" customWidth="1"/>
    <col min="3" max="3" width="17.140625" style="260" bestFit="1" customWidth="1"/>
    <col min="4" max="5" width="15.7109375" style="260" customWidth="1" outlineLevel="2"/>
    <col min="6" max="41" width="15.7109375" style="260" customWidth="1"/>
    <col min="42" max="42" width="3.7109375" style="260" customWidth="1"/>
    <col min="43" max="16384" width="8.7109375" style="260"/>
  </cols>
  <sheetData>
    <row r="1" spans="1:42" s="46" customFormat="1" ht="20.100000000000001" customHeight="1">
      <c r="B1" s="41" t="str">
        <f>'Quarterly P&amp;L'!B1</f>
        <v>Steward Holdings (US) Inc., A Public Benefit Corporation</v>
      </c>
      <c r="C1" s="48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</row>
    <row r="2" spans="1:42" s="46" customFormat="1" ht="13.35" customHeight="1">
      <c r="B2" s="219" t="s">
        <v>7</v>
      </c>
      <c r="C2" s="79"/>
      <c r="D2" s="497" t="s">
        <v>59</v>
      </c>
      <c r="E2" s="497" t="s">
        <v>59</v>
      </c>
      <c r="F2" s="497" t="s">
        <v>55</v>
      </c>
      <c r="G2" s="497" t="s">
        <v>55</v>
      </c>
      <c r="H2" s="497" t="s">
        <v>55</v>
      </c>
      <c r="I2" s="497" t="s">
        <v>56</v>
      </c>
      <c r="J2" s="497" t="s">
        <v>56</v>
      </c>
      <c r="K2" s="497" t="s">
        <v>56</v>
      </c>
      <c r="L2" s="497" t="s">
        <v>57</v>
      </c>
      <c r="M2" s="497" t="s">
        <v>57</v>
      </c>
      <c r="N2" s="497" t="s">
        <v>57</v>
      </c>
      <c r="O2" s="497" t="s">
        <v>58</v>
      </c>
      <c r="P2" s="497" t="s">
        <v>58</v>
      </c>
      <c r="Q2" s="497" t="s">
        <v>58</v>
      </c>
      <c r="R2" s="497" t="s">
        <v>31</v>
      </c>
      <c r="S2" s="497" t="s">
        <v>31</v>
      </c>
      <c r="T2" s="497" t="s">
        <v>31</v>
      </c>
      <c r="U2" s="497" t="s">
        <v>32</v>
      </c>
      <c r="V2" s="497" t="s">
        <v>32</v>
      </c>
      <c r="W2" s="497" t="s">
        <v>32</v>
      </c>
      <c r="X2" s="497" t="s">
        <v>33</v>
      </c>
      <c r="Y2" s="497" t="s">
        <v>33</v>
      </c>
      <c r="Z2" s="497" t="s">
        <v>33</v>
      </c>
      <c r="AA2" s="497" t="s">
        <v>34</v>
      </c>
      <c r="AB2" s="497" t="s">
        <v>34</v>
      </c>
      <c r="AC2" s="497" t="s">
        <v>34</v>
      </c>
      <c r="AD2" s="497" t="s">
        <v>51</v>
      </c>
      <c r="AE2" s="497" t="s">
        <v>51</v>
      </c>
      <c r="AF2" s="497" t="s">
        <v>51</v>
      </c>
      <c r="AG2" s="497" t="s">
        <v>52</v>
      </c>
      <c r="AH2" s="497" t="s">
        <v>52</v>
      </c>
      <c r="AI2" s="497" t="s">
        <v>52</v>
      </c>
      <c r="AJ2" s="497" t="s">
        <v>53</v>
      </c>
      <c r="AK2" s="497" t="s">
        <v>53</v>
      </c>
      <c r="AL2" s="497" t="s">
        <v>53</v>
      </c>
      <c r="AM2" s="497" t="s">
        <v>54</v>
      </c>
      <c r="AN2" s="497" t="s">
        <v>54</v>
      </c>
      <c r="AO2" s="497" t="s">
        <v>54</v>
      </c>
    </row>
    <row r="3" spans="1:42" s="46" customFormat="1" ht="13.35" customHeight="1">
      <c r="B3" s="219"/>
      <c r="C3" s="219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</row>
    <row r="4" spans="1:42" s="46" customFormat="1" ht="13.35" customHeight="1">
      <c r="B4" s="221"/>
      <c r="C4" s="222"/>
      <c r="D4" s="221"/>
      <c r="E4" s="221"/>
      <c r="F4" s="223" t="s">
        <v>4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3" t="s">
        <v>28</v>
      </c>
      <c r="S4" s="221"/>
      <c r="T4" s="221"/>
      <c r="U4" s="221"/>
      <c r="V4" s="221"/>
      <c r="W4" s="222"/>
      <c r="X4" s="221"/>
      <c r="Y4" s="221"/>
      <c r="Z4" s="221"/>
      <c r="AA4" s="221"/>
      <c r="AB4" s="221"/>
      <c r="AC4" s="221"/>
      <c r="AD4" s="223" t="s">
        <v>49</v>
      </c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</row>
    <row r="5" spans="1:42" s="46" customFormat="1" ht="13.35" customHeight="1">
      <c r="B5" s="224"/>
      <c r="C5" s="225"/>
      <c r="D5" s="226"/>
      <c r="E5" s="227"/>
      <c r="F5" s="227">
        <f>'Revenue Build'!F5</f>
        <v>43860</v>
      </c>
      <c r="G5" s="227">
        <f>EOMONTH(F5,1)</f>
        <v>43890</v>
      </c>
      <c r="H5" s="227">
        <f t="shared" ref="H5:AO5" si="0">EOMONTH(G5,1)</f>
        <v>43921</v>
      </c>
      <c r="I5" s="227">
        <f t="shared" si="0"/>
        <v>43951</v>
      </c>
      <c r="J5" s="227">
        <f t="shared" si="0"/>
        <v>43982</v>
      </c>
      <c r="K5" s="227">
        <f t="shared" si="0"/>
        <v>44012</v>
      </c>
      <c r="L5" s="227">
        <f t="shared" si="0"/>
        <v>44043</v>
      </c>
      <c r="M5" s="227">
        <f t="shared" si="0"/>
        <v>44074</v>
      </c>
      <c r="N5" s="227">
        <f t="shared" si="0"/>
        <v>44104</v>
      </c>
      <c r="O5" s="227">
        <f t="shared" si="0"/>
        <v>44135</v>
      </c>
      <c r="P5" s="227">
        <f t="shared" si="0"/>
        <v>44165</v>
      </c>
      <c r="Q5" s="227">
        <f t="shared" si="0"/>
        <v>44196</v>
      </c>
      <c r="R5" s="227">
        <f t="shared" si="0"/>
        <v>44227</v>
      </c>
      <c r="S5" s="227">
        <f t="shared" si="0"/>
        <v>44255</v>
      </c>
      <c r="T5" s="227">
        <f t="shared" si="0"/>
        <v>44286</v>
      </c>
      <c r="U5" s="227">
        <f t="shared" si="0"/>
        <v>44316</v>
      </c>
      <c r="V5" s="227">
        <f t="shared" si="0"/>
        <v>44347</v>
      </c>
      <c r="W5" s="227">
        <f t="shared" si="0"/>
        <v>44377</v>
      </c>
      <c r="X5" s="227">
        <f t="shared" si="0"/>
        <v>44408</v>
      </c>
      <c r="Y5" s="227">
        <f t="shared" si="0"/>
        <v>44439</v>
      </c>
      <c r="Z5" s="227">
        <f t="shared" si="0"/>
        <v>44469</v>
      </c>
      <c r="AA5" s="227">
        <f t="shared" si="0"/>
        <v>44500</v>
      </c>
      <c r="AB5" s="227">
        <f t="shared" si="0"/>
        <v>44530</v>
      </c>
      <c r="AC5" s="227">
        <f t="shared" si="0"/>
        <v>44561</v>
      </c>
      <c r="AD5" s="227">
        <f t="shared" si="0"/>
        <v>44592</v>
      </c>
      <c r="AE5" s="227">
        <f t="shared" si="0"/>
        <v>44620</v>
      </c>
      <c r="AF5" s="227">
        <f t="shared" si="0"/>
        <v>44651</v>
      </c>
      <c r="AG5" s="227">
        <f t="shared" si="0"/>
        <v>44681</v>
      </c>
      <c r="AH5" s="227">
        <f t="shared" si="0"/>
        <v>44712</v>
      </c>
      <c r="AI5" s="227">
        <f t="shared" si="0"/>
        <v>44742</v>
      </c>
      <c r="AJ5" s="227">
        <f t="shared" si="0"/>
        <v>44773</v>
      </c>
      <c r="AK5" s="227">
        <f t="shared" si="0"/>
        <v>44804</v>
      </c>
      <c r="AL5" s="227">
        <f t="shared" si="0"/>
        <v>44834</v>
      </c>
      <c r="AM5" s="227">
        <f t="shared" si="0"/>
        <v>44865</v>
      </c>
      <c r="AN5" s="227">
        <f t="shared" si="0"/>
        <v>44895</v>
      </c>
      <c r="AO5" s="227">
        <f t="shared" si="0"/>
        <v>44926</v>
      </c>
    </row>
    <row r="6" spans="1:42" s="46" customFormat="1" ht="13.35" customHeight="1"/>
    <row r="7" spans="1:42" s="85" customFormat="1" ht="15">
      <c r="B7" s="583" t="s">
        <v>318</v>
      </c>
      <c r="C7" s="253"/>
      <c r="D7" s="593"/>
      <c r="E7" s="593"/>
      <c r="F7" s="593">
        <f>'Revenue Build'!F12</f>
        <v>0</v>
      </c>
      <c r="G7" s="593">
        <f>'Revenue Build'!G12</f>
        <v>0</v>
      </c>
      <c r="H7" s="593">
        <f>'Revenue Build'!H12</f>
        <v>100</v>
      </c>
      <c r="I7" s="593">
        <f>'Revenue Build'!I12</f>
        <v>100</v>
      </c>
      <c r="J7" s="593">
        <f>'Revenue Build'!J12</f>
        <v>100</v>
      </c>
      <c r="K7" s="593">
        <f>'Revenue Build'!K12</f>
        <v>100</v>
      </c>
      <c r="L7" s="593">
        <f>'Revenue Build'!L12</f>
        <v>100</v>
      </c>
      <c r="M7" s="593">
        <f>'Revenue Build'!M12</f>
        <v>100</v>
      </c>
      <c r="N7" s="593">
        <f>'Revenue Build'!N12</f>
        <v>100</v>
      </c>
      <c r="O7" s="593">
        <f>'Revenue Build'!O12</f>
        <v>100</v>
      </c>
      <c r="P7" s="593">
        <f>'Revenue Build'!P12</f>
        <v>100</v>
      </c>
      <c r="Q7" s="593">
        <f>'Revenue Build'!Q12</f>
        <v>100</v>
      </c>
      <c r="R7" s="593">
        <f>'Revenue Build'!R12</f>
        <v>250</v>
      </c>
      <c r="S7" s="593">
        <f>'Revenue Build'!S12</f>
        <v>250</v>
      </c>
      <c r="T7" s="593">
        <f>'Revenue Build'!T12</f>
        <v>250</v>
      </c>
      <c r="U7" s="593">
        <f>'Revenue Build'!U12</f>
        <v>250</v>
      </c>
      <c r="V7" s="593">
        <f>'Revenue Build'!V12</f>
        <v>250</v>
      </c>
      <c r="W7" s="593">
        <f>'Revenue Build'!W12</f>
        <v>250</v>
      </c>
      <c r="X7" s="593">
        <f>'Revenue Build'!X12</f>
        <v>250</v>
      </c>
      <c r="Y7" s="593">
        <f>'Revenue Build'!Y12</f>
        <v>250</v>
      </c>
      <c r="Z7" s="593">
        <f>'Revenue Build'!Z12</f>
        <v>250</v>
      </c>
      <c r="AA7" s="593">
        <f>'Revenue Build'!AA12</f>
        <v>250</v>
      </c>
      <c r="AB7" s="593">
        <f>'Revenue Build'!AB12</f>
        <v>250</v>
      </c>
      <c r="AC7" s="593">
        <f>'Revenue Build'!AC12</f>
        <v>250</v>
      </c>
      <c r="AD7" s="593">
        <f>'Revenue Build'!AD12</f>
        <v>500</v>
      </c>
      <c r="AE7" s="593">
        <f>'Revenue Build'!AE12</f>
        <v>500</v>
      </c>
      <c r="AF7" s="593">
        <f>'Revenue Build'!AF12</f>
        <v>500</v>
      </c>
      <c r="AG7" s="593">
        <f>'Revenue Build'!AG12</f>
        <v>500</v>
      </c>
      <c r="AH7" s="593">
        <f>'Revenue Build'!AH12</f>
        <v>500</v>
      </c>
      <c r="AI7" s="593">
        <f>'Revenue Build'!AI12</f>
        <v>500</v>
      </c>
      <c r="AJ7" s="593">
        <f>'Revenue Build'!AJ12</f>
        <v>500</v>
      </c>
      <c r="AK7" s="593">
        <f>'Revenue Build'!AK12</f>
        <v>500</v>
      </c>
      <c r="AL7" s="593">
        <f>'Revenue Build'!AL12</f>
        <v>500</v>
      </c>
      <c r="AM7" s="593">
        <f>'Revenue Build'!AM12</f>
        <v>500</v>
      </c>
      <c r="AN7" s="593">
        <f>'Revenue Build'!AN12</f>
        <v>500</v>
      </c>
      <c r="AO7" s="593">
        <f>'Revenue Build'!AO12</f>
        <v>500</v>
      </c>
      <c r="AP7" s="594">
        <f>AO7</f>
        <v>500</v>
      </c>
    </row>
    <row r="8" spans="1:42" s="85" customFormat="1" ht="15">
      <c r="B8" s="583" t="s">
        <v>407</v>
      </c>
      <c r="C8" s="231"/>
      <c r="D8" s="232"/>
      <c r="E8" s="232"/>
      <c r="F8" s="673">
        <f>SUM('Annual P&amp;L'!D7:E7)</f>
        <v>1200</v>
      </c>
      <c r="G8" s="674">
        <f>F8+G7</f>
        <v>1200</v>
      </c>
      <c r="H8" s="674">
        <f t="shared" ref="H8:AO8" si="1">G8+H7</f>
        <v>1300</v>
      </c>
      <c r="I8" s="674">
        <f t="shared" si="1"/>
        <v>1400</v>
      </c>
      <c r="J8" s="674">
        <f t="shared" si="1"/>
        <v>1500</v>
      </c>
      <c r="K8" s="674">
        <f t="shared" si="1"/>
        <v>1600</v>
      </c>
      <c r="L8" s="674">
        <f t="shared" si="1"/>
        <v>1700</v>
      </c>
      <c r="M8" s="674">
        <f t="shared" si="1"/>
        <v>1800</v>
      </c>
      <c r="N8" s="674">
        <f t="shared" si="1"/>
        <v>1900</v>
      </c>
      <c r="O8" s="674">
        <f t="shared" si="1"/>
        <v>2000</v>
      </c>
      <c r="P8" s="674">
        <f t="shared" si="1"/>
        <v>2100</v>
      </c>
      <c r="Q8" s="674">
        <f t="shared" si="1"/>
        <v>2200</v>
      </c>
      <c r="R8" s="674">
        <f t="shared" si="1"/>
        <v>2450</v>
      </c>
      <c r="S8" s="674">
        <f t="shared" si="1"/>
        <v>2700</v>
      </c>
      <c r="T8" s="674">
        <f t="shared" si="1"/>
        <v>2950</v>
      </c>
      <c r="U8" s="674">
        <f t="shared" si="1"/>
        <v>3200</v>
      </c>
      <c r="V8" s="674">
        <f t="shared" si="1"/>
        <v>3450</v>
      </c>
      <c r="W8" s="674">
        <f t="shared" si="1"/>
        <v>3700</v>
      </c>
      <c r="X8" s="674">
        <f t="shared" si="1"/>
        <v>3950</v>
      </c>
      <c r="Y8" s="674">
        <f t="shared" si="1"/>
        <v>4200</v>
      </c>
      <c r="Z8" s="674">
        <f t="shared" si="1"/>
        <v>4450</v>
      </c>
      <c r="AA8" s="674">
        <f t="shared" si="1"/>
        <v>4700</v>
      </c>
      <c r="AB8" s="674">
        <f t="shared" si="1"/>
        <v>4950</v>
      </c>
      <c r="AC8" s="674">
        <f t="shared" si="1"/>
        <v>5200</v>
      </c>
      <c r="AD8" s="674">
        <f t="shared" si="1"/>
        <v>5700</v>
      </c>
      <c r="AE8" s="674">
        <f t="shared" si="1"/>
        <v>6200</v>
      </c>
      <c r="AF8" s="674">
        <f t="shared" si="1"/>
        <v>6700</v>
      </c>
      <c r="AG8" s="674">
        <f t="shared" si="1"/>
        <v>7200</v>
      </c>
      <c r="AH8" s="674">
        <f t="shared" si="1"/>
        <v>7700</v>
      </c>
      <c r="AI8" s="674">
        <f t="shared" si="1"/>
        <v>8200</v>
      </c>
      <c r="AJ8" s="674">
        <f t="shared" si="1"/>
        <v>8700</v>
      </c>
      <c r="AK8" s="674">
        <f t="shared" si="1"/>
        <v>9200</v>
      </c>
      <c r="AL8" s="674">
        <f t="shared" si="1"/>
        <v>9700</v>
      </c>
      <c r="AM8" s="674">
        <f t="shared" si="1"/>
        <v>10200</v>
      </c>
      <c r="AN8" s="674">
        <f t="shared" si="1"/>
        <v>10700</v>
      </c>
      <c r="AO8" s="674">
        <f t="shared" si="1"/>
        <v>11200</v>
      </c>
      <c r="AP8" s="674"/>
    </row>
    <row r="9" spans="1:42" s="46" customFormat="1" ht="5.0999999999999996" customHeight="1">
      <c r="B9" s="49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</row>
    <row r="10" spans="1:42" s="85" customFormat="1" ht="15">
      <c r="A10" s="85" t="s">
        <v>47</v>
      </c>
      <c r="B10" s="228" t="s">
        <v>114</v>
      </c>
      <c r="C10" s="229"/>
      <c r="D10" s="228"/>
      <c r="E10" s="228"/>
      <c r="F10" s="230"/>
      <c r="G10" s="228"/>
      <c r="H10" s="228"/>
      <c r="I10" s="355"/>
      <c r="J10" s="355"/>
      <c r="K10" s="355"/>
      <c r="L10" s="355"/>
      <c r="M10" s="355"/>
      <c r="N10" s="355"/>
      <c r="O10" s="355"/>
      <c r="P10" s="355"/>
      <c r="Q10" s="355"/>
      <c r="R10" s="356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6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</row>
    <row r="11" spans="1:42" s="46" customFormat="1" ht="15">
      <c r="B11" s="49" t="s">
        <v>109</v>
      </c>
      <c r="D11" s="232"/>
      <c r="E11" s="232"/>
      <c r="F11" s="232">
        <f>'Revenue Build'!F78+'Revenue Build'!F79</f>
        <v>0</v>
      </c>
      <c r="G11" s="232">
        <f>'Revenue Build'!G78+'Revenue Build'!G79</f>
        <v>0</v>
      </c>
      <c r="H11" s="232">
        <f>'Revenue Build'!H78+'Revenue Build'!H79</f>
        <v>0</v>
      </c>
      <c r="I11" s="232">
        <f>'Revenue Build'!I78+'Revenue Build'!I79</f>
        <v>0</v>
      </c>
      <c r="J11" s="232">
        <f>'Revenue Build'!J78+'Revenue Build'!J79</f>
        <v>0</v>
      </c>
      <c r="K11" s="232">
        <f>'Revenue Build'!K78+'Revenue Build'!K79</f>
        <v>1</v>
      </c>
      <c r="L11" s="232">
        <f>'Revenue Build'!L78+'Revenue Build'!L79</f>
        <v>3</v>
      </c>
      <c r="M11" s="232">
        <f>'Revenue Build'!M78+'Revenue Build'!M79</f>
        <v>3</v>
      </c>
      <c r="N11" s="232">
        <f>'Revenue Build'!N78+'Revenue Build'!N79</f>
        <v>7</v>
      </c>
      <c r="O11" s="232">
        <f>'Revenue Build'!O78+'Revenue Build'!O79</f>
        <v>7</v>
      </c>
      <c r="P11" s="232">
        <f>'Revenue Build'!P78+'Revenue Build'!P79</f>
        <v>6</v>
      </c>
      <c r="Q11" s="232">
        <f>'Revenue Build'!Q78+'Revenue Build'!Q79</f>
        <v>3</v>
      </c>
      <c r="R11" s="232">
        <f>'Revenue Build'!R78+'Revenue Build'!R79</f>
        <v>13</v>
      </c>
      <c r="S11" s="232">
        <f>'Revenue Build'!S78+'Revenue Build'!S79</f>
        <v>13</v>
      </c>
      <c r="T11" s="232">
        <f>'Revenue Build'!T78+'Revenue Build'!T79</f>
        <v>13</v>
      </c>
      <c r="U11" s="232">
        <f>'Revenue Build'!U78+'Revenue Build'!U79</f>
        <v>13</v>
      </c>
      <c r="V11" s="232">
        <f>'Revenue Build'!V78+'Revenue Build'!V79</f>
        <v>13</v>
      </c>
      <c r="W11" s="232">
        <f>'Revenue Build'!W78+'Revenue Build'!W79</f>
        <v>13</v>
      </c>
      <c r="X11" s="232">
        <f>'Revenue Build'!X78+'Revenue Build'!X79</f>
        <v>13</v>
      </c>
      <c r="Y11" s="232">
        <f>'Revenue Build'!Y78+'Revenue Build'!Y79</f>
        <v>13</v>
      </c>
      <c r="Z11" s="232">
        <f>'Revenue Build'!Z78+'Revenue Build'!Z79</f>
        <v>13</v>
      </c>
      <c r="AA11" s="232">
        <f>'Revenue Build'!AA78+'Revenue Build'!AA79</f>
        <v>13</v>
      </c>
      <c r="AB11" s="232">
        <f>'Revenue Build'!AB78+'Revenue Build'!AB79</f>
        <v>13</v>
      </c>
      <c r="AC11" s="232">
        <f>'Revenue Build'!AC78+'Revenue Build'!AC79</f>
        <v>13</v>
      </c>
      <c r="AD11" s="232">
        <f>'Revenue Build'!AD78+'Revenue Build'!AD79</f>
        <v>35</v>
      </c>
      <c r="AE11" s="232">
        <f>'Revenue Build'!AE78+'Revenue Build'!AE79</f>
        <v>35</v>
      </c>
      <c r="AF11" s="232">
        <f>'Revenue Build'!AF78+'Revenue Build'!AF79</f>
        <v>35</v>
      </c>
      <c r="AG11" s="232">
        <f>'Revenue Build'!AG78+'Revenue Build'!AG79</f>
        <v>35</v>
      </c>
      <c r="AH11" s="232">
        <f>'Revenue Build'!AH78+'Revenue Build'!AH79</f>
        <v>35</v>
      </c>
      <c r="AI11" s="232">
        <f>'Revenue Build'!AI78+'Revenue Build'!AI79</f>
        <v>35</v>
      </c>
      <c r="AJ11" s="232">
        <f>'Revenue Build'!AJ78+'Revenue Build'!AJ79</f>
        <v>35</v>
      </c>
      <c r="AK11" s="232">
        <f>'Revenue Build'!AK78+'Revenue Build'!AK79</f>
        <v>35</v>
      </c>
      <c r="AL11" s="232">
        <f>'Revenue Build'!AL78+'Revenue Build'!AL79</f>
        <v>35</v>
      </c>
      <c r="AM11" s="232">
        <f>'Revenue Build'!AM78+'Revenue Build'!AM79</f>
        <v>35</v>
      </c>
      <c r="AN11" s="232">
        <f>'Revenue Build'!AN78+'Revenue Build'!AN79</f>
        <v>35</v>
      </c>
      <c r="AO11" s="232">
        <f>'Revenue Build'!AO78+'Revenue Build'!AO79</f>
        <v>35</v>
      </c>
    </row>
    <row r="12" spans="1:42" s="46" customFormat="1" ht="15">
      <c r="B12" s="49" t="s">
        <v>110</v>
      </c>
      <c r="D12" s="232"/>
      <c r="E12" s="232"/>
      <c r="F12" s="232">
        <f>'Revenue Build'!F149</f>
        <v>15</v>
      </c>
      <c r="G12" s="232">
        <f>'Revenue Build'!G149</f>
        <v>15</v>
      </c>
      <c r="H12" s="232">
        <f>'Revenue Build'!H149</f>
        <v>15</v>
      </c>
      <c r="I12" s="232">
        <f>'Revenue Build'!I149</f>
        <v>15</v>
      </c>
      <c r="J12" s="232">
        <f>'Revenue Build'!J149</f>
        <v>15</v>
      </c>
      <c r="K12" s="232">
        <f>'Revenue Build'!K149</f>
        <v>16</v>
      </c>
      <c r="L12" s="232">
        <f>'Revenue Build'!L149</f>
        <v>19</v>
      </c>
      <c r="M12" s="232">
        <f>'Revenue Build'!M149</f>
        <v>22</v>
      </c>
      <c r="N12" s="232">
        <f>'Revenue Build'!N149</f>
        <v>29</v>
      </c>
      <c r="O12" s="232">
        <f>'Revenue Build'!O149</f>
        <v>36</v>
      </c>
      <c r="P12" s="232">
        <f>'Revenue Build'!P149</f>
        <v>42</v>
      </c>
      <c r="Q12" s="232">
        <f>'Revenue Build'!Q149</f>
        <v>45</v>
      </c>
      <c r="R12" s="232">
        <f>'Revenue Build'!R149</f>
        <v>58</v>
      </c>
      <c r="S12" s="232">
        <f>'Revenue Build'!S149</f>
        <v>71</v>
      </c>
      <c r="T12" s="232">
        <f>'Revenue Build'!T149</f>
        <v>84</v>
      </c>
      <c r="U12" s="232">
        <f>'Revenue Build'!U149</f>
        <v>97</v>
      </c>
      <c r="V12" s="232">
        <f>'Revenue Build'!V149</f>
        <v>110</v>
      </c>
      <c r="W12" s="232">
        <f>'Revenue Build'!W149</f>
        <v>123</v>
      </c>
      <c r="X12" s="232">
        <f>'Revenue Build'!X149</f>
        <v>136</v>
      </c>
      <c r="Y12" s="232">
        <f>'Revenue Build'!Y149</f>
        <v>149</v>
      </c>
      <c r="Z12" s="232">
        <f>'Revenue Build'!Z149</f>
        <v>162</v>
      </c>
      <c r="AA12" s="232">
        <f>'Revenue Build'!AA149</f>
        <v>175</v>
      </c>
      <c r="AB12" s="232">
        <f>'Revenue Build'!AB149</f>
        <v>188</v>
      </c>
      <c r="AC12" s="232">
        <f>'Revenue Build'!AC149</f>
        <v>201</v>
      </c>
      <c r="AD12" s="232">
        <f>'Revenue Build'!AD149</f>
        <v>236</v>
      </c>
      <c r="AE12" s="232">
        <f>'Revenue Build'!AE149</f>
        <v>271</v>
      </c>
      <c r="AF12" s="232">
        <f>'Revenue Build'!AF149</f>
        <v>306</v>
      </c>
      <c r="AG12" s="232">
        <f>'Revenue Build'!AG149</f>
        <v>341</v>
      </c>
      <c r="AH12" s="232">
        <f>'Revenue Build'!AH149</f>
        <v>376</v>
      </c>
      <c r="AI12" s="232">
        <f>'Revenue Build'!AI149</f>
        <v>411</v>
      </c>
      <c r="AJ12" s="232">
        <f>'Revenue Build'!AJ149</f>
        <v>445</v>
      </c>
      <c r="AK12" s="232">
        <f>'Revenue Build'!AK149</f>
        <v>480</v>
      </c>
      <c r="AL12" s="232">
        <f>'Revenue Build'!AL149</f>
        <v>514</v>
      </c>
      <c r="AM12" s="232">
        <f>'Revenue Build'!AM149</f>
        <v>549</v>
      </c>
      <c r="AN12" s="232">
        <f>'Revenue Build'!AN149</f>
        <v>584</v>
      </c>
      <c r="AO12" s="232">
        <f>'Revenue Build'!AO149</f>
        <v>619</v>
      </c>
    </row>
    <row r="13" spans="1:42" s="46" customFormat="1" ht="15">
      <c r="B13" s="49" t="s">
        <v>244</v>
      </c>
      <c r="D13" s="159"/>
      <c r="E13" s="159"/>
      <c r="F13" s="499">
        <f>'Revenue Build'!F14</f>
        <v>0</v>
      </c>
      <c r="G13" s="499">
        <f>'Revenue Build'!G14</f>
        <v>0</v>
      </c>
      <c r="H13" s="499">
        <f>'Revenue Build'!H14</f>
        <v>69.294737853107478</v>
      </c>
      <c r="I13" s="499">
        <f>'Revenue Build'!I14</f>
        <v>69.294737853107478</v>
      </c>
      <c r="J13" s="499">
        <f>'Revenue Build'!J14</f>
        <v>69.294737853107478</v>
      </c>
      <c r="K13" s="499">
        <f>'Revenue Build'!K14</f>
        <v>77.091348022599007</v>
      </c>
      <c r="L13" s="499">
        <f>'Revenue Build'!L14</f>
        <v>142.06309943502851</v>
      </c>
      <c r="M13" s="499">
        <f>'Revenue Build'!M14</f>
        <v>177.14784519774045</v>
      </c>
      <c r="N13" s="499">
        <f>'Revenue Build'!N14</f>
        <v>281.10264745762765</v>
      </c>
      <c r="O13" s="499">
        <f>'Revenue Build'!O14</f>
        <v>327.88230847457686</v>
      </c>
      <c r="P13" s="499">
        <f>'Revenue Build'!P14</f>
        <v>355.17044406779729</v>
      </c>
      <c r="Q13" s="499">
        <f>'Revenue Build'!Q14</f>
        <v>362.96705423728883</v>
      </c>
      <c r="R13" s="499">
        <f>'Revenue Build'!R14</f>
        <v>430.53767570621551</v>
      </c>
      <c r="S13" s="499">
        <f>'Revenue Build'!S14</f>
        <v>498.10829717514218</v>
      </c>
      <c r="T13" s="499">
        <f>'Revenue Build'!T14</f>
        <v>565.67891864406886</v>
      </c>
      <c r="U13" s="499">
        <f>'Revenue Build'!U14</f>
        <v>633.24954011299553</v>
      </c>
      <c r="V13" s="499">
        <f>'Revenue Build'!V14</f>
        <v>700.82016158192221</v>
      </c>
      <c r="W13" s="499">
        <f>'Revenue Build'!W14</f>
        <v>768.39078305084888</v>
      </c>
      <c r="X13" s="499">
        <f>'Revenue Build'!X14</f>
        <v>835.96140451977556</v>
      </c>
      <c r="Y13" s="499">
        <f>'Revenue Build'!Y14</f>
        <v>903.53202598870223</v>
      </c>
      <c r="Z13" s="499">
        <f>'Revenue Build'!Z14</f>
        <v>971.1026474576289</v>
      </c>
      <c r="AA13" s="499">
        <f>'Revenue Build'!AA14</f>
        <v>1038.6732689265557</v>
      </c>
      <c r="AB13" s="499">
        <f>'Revenue Build'!AB14</f>
        <v>1106.2438903954824</v>
      </c>
      <c r="AC13" s="499">
        <f>'Revenue Build'!AC14</f>
        <v>1173.814511864409</v>
      </c>
      <c r="AD13" s="499">
        <f>'Revenue Build'!AD14</f>
        <v>1446.6958677966129</v>
      </c>
      <c r="AE13" s="499">
        <f>'Revenue Build'!AE14</f>
        <v>1719.5772237288168</v>
      </c>
      <c r="AF13" s="499">
        <f>'Revenue Build'!AF14</f>
        <v>1992.4585796610206</v>
      </c>
      <c r="AG13" s="499">
        <f>'Revenue Build'!AG14</f>
        <v>2265.3399355932247</v>
      </c>
      <c r="AH13" s="499">
        <f>'Revenue Build'!AH14</f>
        <v>2538.2212915254286</v>
      </c>
      <c r="AI13" s="499">
        <f>'Revenue Build'!AI14</f>
        <v>2811.1026474576324</v>
      </c>
      <c r="AJ13" s="499">
        <f>'Revenue Build'!AJ14</f>
        <v>3081.7504305084803</v>
      </c>
      <c r="AK13" s="499">
        <f>'Revenue Build'!AK14</f>
        <v>3354.6317864406842</v>
      </c>
      <c r="AL13" s="499">
        <f>'Revenue Build'!AL14</f>
        <v>3624.1253593220408</v>
      </c>
      <c r="AM13" s="499">
        <f>'Revenue Build'!AM14</f>
        <v>3897.0067152542447</v>
      </c>
      <c r="AN13" s="499">
        <f>'Revenue Build'!AN14</f>
        <v>4169.8880711864485</v>
      </c>
      <c r="AO13" s="499">
        <f>'Revenue Build'!AO14</f>
        <v>4442.7694271186519</v>
      </c>
      <c r="AP13" s="499"/>
    </row>
    <row r="14" spans="1:42" s="46" customFormat="1" ht="15">
      <c r="B14" s="49" t="s">
        <v>245</v>
      </c>
      <c r="D14" s="159"/>
      <c r="E14" s="159"/>
      <c r="F14" s="499"/>
      <c r="G14" s="450">
        <f>G13-F13</f>
        <v>0</v>
      </c>
      <c r="H14" s="450">
        <f>H13-G13</f>
        <v>69.294737853107478</v>
      </c>
      <c r="I14" s="450">
        <f>I13-H13</f>
        <v>0</v>
      </c>
      <c r="J14" s="450">
        <f t="shared" ref="J14:AO14" si="2">J13-I13</f>
        <v>0</v>
      </c>
      <c r="K14" s="450">
        <f t="shared" si="2"/>
        <v>7.7966101694915295</v>
      </c>
      <c r="L14" s="450">
        <f t="shared" si="2"/>
        <v>64.971751412429498</v>
      </c>
      <c r="M14" s="450">
        <f t="shared" si="2"/>
        <v>35.084745762711947</v>
      </c>
      <c r="N14" s="450">
        <f t="shared" si="2"/>
        <v>103.9548022598872</v>
      </c>
      <c r="O14" s="450">
        <f t="shared" si="2"/>
        <v>46.779661016949206</v>
      </c>
      <c r="P14" s="450">
        <f t="shared" si="2"/>
        <v>27.288135593220431</v>
      </c>
      <c r="Q14" s="450">
        <f t="shared" si="2"/>
        <v>7.7966101694915437</v>
      </c>
      <c r="R14" s="450">
        <f t="shared" si="2"/>
        <v>67.570621468926674</v>
      </c>
      <c r="S14" s="450">
        <f t="shared" si="2"/>
        <v>67.570621468926674</v>
      </c>
      <c r="T14" s="450">
        <f t="shared" si="2"/>
        <v>67.570621468926674</v>
      </c>
      <c r="U14" s="450">
        <f t="shared" si="2"/>
        <v>67.570621468926674</v>
      </c>
      <c r="V14" s="450">
        <f t="shared" si="2"/>
        <v>67.570621468926674</v>
      </c>
      <c r="W14" s="450">
        <f t="shared" si="2"/>
        <v>67.570621468926674</v>
      </c>
      <c r="X14" s="450">
        <f t="shared" si="2"/>
        <v>67.570621468926674</v>
      </c>
      <c r="Y14" s="450">
        <f t="shared" si="2"/>
        <v>67.570621468926674</v>
      </c>
      <c r="Z14" s="450">
        <f t="shared" si="2"/>
        <v>67.570621468926674</v>
      </c>
      <c r="AA14" s="450">
        <f t="shared" si="2"/>
        <v>67.570621468926788</v>
      </c>
      <c r="AB14" s="450">
        <f t="shared" si="2"/>
        <v>67.570621468926674</v>
      </c>
      <c r="AC14" s="450">
        <f t="shared" si="2"/>
        <v>67.570621468926674</v>
      </c>
      <c r="AD14" s="450">
        <f t="shared" si="2"/>
        <v>272.88135593220386</v>
      </c>
      <c r="AE14" s="450">
        <f t="shared" si="2"/>
        <v>272.88135593220386</v>
      </c>
      <c r="AF14" s="450">
        <f t="shared" si="2"/>
        <v>272.88135593220386</v>
      </c>
      <c r="AG14" s="450">
        <f t="shared" si="2"/>
        <v>272.88135593220409</v>
      </c>
      <c r="AH14" s="450">
        <f t="shared" si="2"/>
        <v>272.88135593220386</v>
      </c>
      <c r="AI14" s="450">
        <f t="shared" si="2"/>
        <v>272.88135593220386</v>
      </c>
      <c r="AJ14" s="450">
        <f t="shared" si="2"/>
        <v>270.64778305084792</v>
      </c>
      <c r="AK14" s="450">
        <f t="shared" si="2"/>
        <v>272.88135593220386</v>
      </c>
      <c r="AL14" s="450">
        <f t="shared" si="2"/>
        <v>269.49357288135661</v>
      </c>
      <c r="AM14" s="450">
        <f t="shared" si="2"/>
        <v>272.88135593220386</v>
      </c>
      <c r="AN14" s="450">
        <f t="shared" si="2"/>
        <v>272.88135593220386</v>
      </c>
      <c r="AO14" s="450">
        <f t="shared" si="2"/>
        <v>272.88135593220341</v>
      </c>
      <c r="AP14" s="450">
        <f>AO14</f>
        <v>272.88135593220341</v>
      </c>
    </row>
    <row r="15" spans="1:42" s="46" customFormat="1" ht="5.0999999999999996" customHeight="1">
      <c r="B15" s="49"/>
      <c r="D15" s="159"/>
      <c r="E15" s="159"/>
      <c r="F15" s="499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</row>
    <row r="16" spans="1:42" s="46" customFormat="1" ht="15">
      <c r="A16" s="46" t="s">
        <v>47</v>
      </c>
      <c r="B16" s="228" t="s">
        <v>113</v>
      </c>
      <c r="C16" s="229"/>
      <c r="D16" s="228"/>
      <c r="E16" s="228"/>
      <c r="F16" s="230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30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30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</row>
    <row r="17" spans="1:41" s="46" customFormat="1" ht="5.0999999999999996" customHeight="1"/>
    <row r="18" spans="1:41" s="46" customFormat="1" ht="15">
      <c r="B18" s="49" t="s">
        <v>111</v>
      </c>
      <c r="D18" s="159"/>
      <c r="E18" s="159"/>
      <c r="F18" s="159">
        <f>'Revenue Build'!F82</f>
        <v>0</v>
      </c>
      <c r="G18" s="159">
        <f>'Revenue Build'!G82</f>
        <v>0</v>
      </c>
      <c r="H18" s="159">
        <f>'Revenue Build'!H82</f>
        <v>0</v>
      </c>
      <c r="I18" s="159">
        <f>'Revenue Build'!I82</f>
        <v>0</v>
      </c>
      <c r="J18" s="159">
        <f>'Revenue Build'!J82</f>
        <v>0</v>
      </c>
      <c r="K18" s="159">
        <f>'Revenue Build'!K82</f>
        <v>300000</v>
      </c>
      <c r="L18" s="159">
        <f>'Revenue Build'!L82</f>
        <v>2500000</v>
      </c>
      <c r="M18" s="159">
        <f>'Revenue Build'!M82</f>
        <v>1350000</v>
      </c>
      <c r="N18" s="159">
        <f>'Revenue Build'!N82</f>
        <v>4000000</v>
      </c>
      <c r="O18" s="159">
        <f>'Revenue Build'!O82</f>
        <v>1800000</v>
      </c>
      <c r="P18" s="159">
        <f>'Revenue Build'!P82</f>
        <v>1050000</v>
      </c>
      <c r="Q18" s="159">
        <f>'Revenue Build'!Q82</f>
        <v>300000</v>
      </c>
      <c r="R18" s="159">
        <f>'Revenue Build'!R82</f>
        <v>2600000</v>
      </c>
      <c r="S18" s="159">
        <f>'Revenue Build'!S82</f>
        <v>2600000</v>
      </c>
      <c r="T18" s="159">
        <f>'Revenue Build'!T82</f>
        <v>2600000</v>
      </c>
      <c r="U18" s="159">
        <f>'Revenue Build'!U82</f>
        <v>2600000</v>
      </c>
      <c r="V18" s="159">
        <f>'Revenue Build'!V82</f>
        <v>2600000</v>
      </c>
      <c r="W18" s="159">
        <f>'Revenue Build'!W82</f>
        <v>2600000</v>
      </c>
      <c r="X18" s="159">
        <f>'Revenue Build'!X82</f>
        <v>2600000</v>
      </c>
      <c r="Y18" s="159">
        <f>'Revenue Build'!Y82</f>
        <v>2600000</v>
      </c>
      <c r="Z18" s="159">
        <f>'Revenue Build'!Z82</f>
        <v>2600000</v>
      </c>
      <c r="AA18" s="159">
        <f>'Revenue Build'!AA82</f>
        <v>2600000</v>
      </c>
      <c r="AB18" s="159">
        <f>'Revenue Build'!AB82</f>
        <v>2600000</v>
      </c>
      <c r="AC18" s="159">
        <f>'Revenue Build'!AC82</f>
        <v>2600000</v>
      </c>
      <c r="AD18" s="159">
        <f>'Revenue Build'!AD82</f>
        <v>10500000</v>
      </c>
      <c r="AE18" s="159">
        <f>'Revenue Build'!AE82</f>
        <v>10500000</v>
      </c>
      <c r="AF18" s="159">
        <f>'Revenue Build'!AF82</f>
        <v>10500000</v>
      </c>
      <c r="AG18" s="159">
        <f>'Revenue Build'!AG82</f>
        <v>10500000</v>
      </c>
      <c r="AH18" s="159">
        <f>'Revenue Build'!AH82</f>
        <v>10500000</v>
      </c>
      <c r="AI18" s="159">
        <f>'Revenue Build'!AI82</f>
        <v>10500000</v>
      </c>
      <c r="AJ18" s="159">
        <f>'Revenue Build'!AJ82</f>
        <v>10500000</v>
      </c>
      <c r="AK18" s="159">
        <f>'Revenue Build'!AK82</f>
        <v>10500000</v>
      </c>
      <c r="AL18" s="159">
        <f>'Revenue Build'!AL82</f>
        <v>10500000</v>
      </c>
      <c r="AM18" s="159">
        <f>'Revenue Build'!AM82</f>
        <v>10500000</v>
      </c>
      <c r="AN18" s="159">
        <f>'Revenue Build'!AN82</f>
        <v>10500000</v>
      </c>
      <c r="AO18" s="159">
        <f>'Revenue Build'!AO82</f>
        <v>10500000</v>
      </c>
    </row>
    <row r="19" spans="1:41" s="46" customFormat="1" ht="5.0999999999999996" customHeight="1">
      <c r="B19" s="4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</row>
    <row r="20" spans="1:41" s="46" customFormat="1" ht="15">
      <c r="B20" s="49" t="s">
        <v>112</v>
      </c>
      <c r="D20" s="159"/>
      <c r="E20" s="159"/>
      <c r="F20" s="159">
        <f>'Revenue Build'!F154</f>
        <v>2666341</v>
      </c>
      <c r="G20" s="159">
        <f>'Revenue Build'!G154</f>
        <v>2666341</v>
      </c>
      <c r="H20" s="159">
        <f>'Revenue Build'!H154</f>
        <v>2666341</v>
      </c>
      <c r="I20" s="159">
        <f>'Revenue Build'!I154</f>
        <v>2666341</v>
      </c>
      <c r="J20" s="159">
        <f>'Revenue Build'!J154</f>
        <v>2666341</v>
      </c>
      <c r="K20" s="159">
        <f>'Revenue Build'!K154</f>
        <v>2966341</v>
      </c>
      <c r="L20" s="159">
        <f>'Revenue Build'!L154</f>
        <v>5466341</v>
      </c>
      <c r="M20" s="159">
        <f>'Revenue Build'!M154</f>
        <v>6816341</v>
      </c>
      <c r="N20" s="159">
        <f>'Revenue Build'!N154</f>
        <v>10816341</v>
      </c>
      <c r="O20" s="159">
        <f>'Revenue Build'!O154</f>
        <v>12616341</v>
      </c>
      <c r="P20" s="159">
        <f>'Revenue Build'!P154</f>
        <v>13666341</v>
      </c>
      <c r="Q20" s="159">
        <f>'Revenue Build'!Q154</f>
        <v>13966341</v>
      </c>
      <c r="R20" s="159">
        <f>'Revenue Build'!R154</f>
        <v>16566341</v>
      </c>
      <c r="S20" s="159">
        <f>'Revenue Build'!S154</f>
        <v>19166341</v>
      </c>
      <c r="T20" s="159">
        <f>'Revenue Build'!T154</f>
        <v>21766341</v>
      </c>
      <c r="U20" s="159">
        <f>'Revenue Build'!U154</f>
        <v>24366341</v>
      </c>
      <c r="V20" s="159">
        <f>'Revenue Build'!V154</f>
        <v>26966341</v>
      </c>
      <c r="W20" s="159">
        <f>'Revenue Build'!W154</f>
        <v>29566341</v>
      </c>
      <c r="X20" s="159">
        <f>'Revenue Build'!X154</f>
        <v>32166341</v>
      </c>
      <c r="Y20" s="159">
        <f>'Revenue Build'!Y154</f>
        <v>34766341</v>
      </c>
      <c r="Z20" s="159">
        <f>'Revenue Build'!Z154</f>
        <v>37366341</v>
      </c>
      <c r="AA20" s="159">
        <f>'Revenue Build'!AA154</f>
        <v>39966341</v>
      </c>
      <c r="AB20" s="159">
        <f>'Revenue Build'!AB154</f>
        <v>42566341</v>
      </c>
      <c r="AC20" s="159">
        <f>'Revenue Build'!AC154</f>
        <v>45166341</v>
      </c>
      <c r="AD20" s="159">
        <f>'Revenue Build'!AD154</f>
        <v>55666341</v>
      </c>
      <c r="AE20" s="159">
        <f>'Revenue Build'!AE154</f>
        <v>66166341</v>
      </c>
      <c r="AF20" s="159">
        <f>'Revenue Build'!AF154</f>
        <v>76666341</v>
      </c>
      <c r="AG20" s="159">
        <f>'Revenue Build'!AG154</f>
        <v>87166341</v>
      </c>
      <c r="AH20" s="159">
        <f>'Revenue Build'!AH154</f>
        <v>97666341</v>
      </c>
      <c r="AI20" s="159">
        <f>'Revenue Build'!AI154</f>
        <v>108166341</v>
      </c>
      <c r="AJ20" s="159">
        <f>'Revenue Build'!AJ154</f>
        <v>118580397</v>
      </c>
      <c r="AK20" s="159">
        <f>'Revenue Build'!AK154</f>
        <v>129080397</v>
      </c>
      <c r="AL20" s="159">
        <f>'Revenue Build'!AL154</f>
        <v>139450041</v>
      </c>
      <c r="AM20" s="159">
        <f>'Revenue Build'!AM154</f>
        <v>149950041</v>
      </c>
      <c r="AN20" s="159">
        <f>'Revenue Build'!AN154</f>
        <v>160450041</v>
      </c>
      <c r="AO20" s="159">
        <f>'Revenue Build'!AO154</f>
        <v>170950041</v>
      </c>
    </row>
    <row r="21" spans="1:41" s="46" customFormat="1" ht="15">
      <c r="A21" s="46" t="s">
        <v>47</v>
      </c>
      <c r="B21" s="228" t="s">
        <v>330</v>
      </c>
      <c r="C21" s="229"/>
      <c r="D21" s="228"/>
      <c r="E21" s="228"/>
      <c r="F21" s="230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30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30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</row>
    <row r="22" spans="1:41" s="46" customFormat="1" ht="15">
      <c r="B22" s="49" t="s">
        <v>194</v>
      </c>
      <c r="C22" s="231"/>
      <c r="D22" s="232"/>
      <c r="E22" s="232"/>
      <c r="F22" s="232">
        <f>'Revenue Build'!F232</f>
        <v>0</v>
      </c>
      <c r="G22" s="232">
        <f>'Revenue Build'!G232</f>
        <v>0</v>
      </c>
      <c r="H22" s="232">
        <f>'Revenue Build'!H232</f>
        <v>0</v>
      </c>
      <c r="I22" s="232">
        <f>'Revenue Build'!I232</f>
        <v>0</v>
      </c>
      <c r="J22" s="232">
        <f>'Revenue Build'!J232</f>
        <v>0</v>
      </c>
      <c r="K22" s="232">
        <f>'Revenue Build'!K232</f>
        <v>2</v>
      </c>
      <c r="L22" s="232">
        <f>'Revenue Build'!L232</f>
        <v>2</v>
      </c>
      <c r="M22" s="232">
        <f>'Revenue Build'!M232</f>
        <v>2</v>
      </c>
      <c r="N22" s="232">
        <f>'Revenue Build'!N232</f>
        <v>2</v>
      </c>
      <c r="O22" s="232">
        <f>'Revenue Build'!O232</f>
        <v>2</v>
      </c>
      <c r="P22" s="232">
        <f>'Revenue Build'!P232</f>
        <v>2</v>
      </c>
      <c r="Q22" s="232">
        <f>'Revenue Build'!Q232</f>
        <v>2</v>
      </c>
      <c r="R22" s="232">
        <f>'Revenue Build'!R232</f>
        <v>13</v>
      </c>
      <c r="S22" s="232">
        <f>'Revenue Build'!S232</f>
        <v>13</v>
      </c>
      <c r="T22" s="232">
        <f>'Revenue Build'!T232</f>
        <v>13</v>
      </c>
      <c r="U22" s="232">
        <f>'Revenue Build'!U232</f>
        <v>13</v>
      </c>
      <c r="V22" s="232">
        <f>'Revenue Build'!V232</f>
        <v>13</v>
      </c>
      <c r="W22" s="232">
        <f>'Revenue Build'!W232</f>
        <v>13</v>
      </c>
      <c r="X22" s="232">
        <f>'Revenue Build'!X232</f>
        <v>13</v>
      </c>
      <c r="Y22" s="232">
        <f>'Revenue Build'!Y232</f>
        <v>13</v>
      </c>
      <c r="Z22" s="232">
        <f>'Revenue Build'!Z232</f>
        <v>13</v>
      </c>
      <c r="AA22" s="232">
        <f>'Revenue Build'!AA232</f>
        <v>13</v>
      </c>
      <c r="AB22" s="232">
        <f>'Revenue Build'!AB232</f>
        <v>13</v>
      </c>
      <c r="AC22" s="232">
        <f>'Revenue Build'!AC232</f>
        <v>13</v>
      </c>
      <c r="AD22" s="232">
        <f>'Revenue Build'!AD232</f>
        <v>53</v>
      </c>
      <c r="AE22" s="232">
        <f>'Revenue Build'!AE232</f>
        <v>53</v>
      </c>
      <c r="AF22" s="232">
        <f>'Revenue Build'!AF232</f>
        <v>53</v>
      </c>
      <c r="AG22" s="232">
        <f>'Revenue Build'!AG232</f>
        <v>53</v>
      </c>
      <c r="AH22" s="232">
        <f>'Revenue Build'!AH232</f>
        <v>53</v>
      </c>
      <c r="AI22" s="232">
        <f>'Revenue Build'!AI232</f>
        <v>53</v>
      </c>
      <c r="AJ22" s="232">
        <f>'Revenue Build'!AJ232</f>
        <v>53</v>
      </c>
      <c r="AK22" s="232">
        <f>'Revenue Build'!AK232</f>
        <v>53</v>
      </c>
      <c r="AL22" s="232">
        <f>'Revenue Build'!AL232</f>
        <v>53</v>
      </c>
      <c r="AM22" s="232">
        <f>'Revenue Build'!AM232</f>
        <v>53</v>
      </c>
      <c r="AN22" s="232">
        <f>'Revenue Build'!AN232</f>
        <v>53</v>
      </c>
      <c r="AO22" s="232">
        <f>'Revenue Build'!AO232</f>
        <v>53</v>
      </c>
    </row>
    <row r="23" spans="1:41" s="46" customFormat="1" ht="15">
      <c r="B23" s="49" t="s">
        <v>195</v>
      </c>
      <c r="C23" s="85"/>
      <c r="D23" s="232"/>
      <c r="E23" s="232"/>
      <c r="F23" s="232">
        <f>'Revenue Build'!F233</f>
        <v>0</v>
      </c>
      <c r="G23" s="232">
        <f>'Revenue Build'!G233</f>
        <v>0</v>
      </c>
      <c r="H23" s="232">
        <f>'Revenue Build'!H233</f>
        <v>0</v>
      </c>
      <c r="I23" s="232">
        <f>'Revenue Build'!I233</f>
        <v>0</v>
      </c>
      <c r="J23" s="232">
        <f>'Revenue Build'!J233</f>
        <v>0</v>
      </c>
      <c r="K23" s="232">
        <f>'Revenue Build'!K233</f>
        <v>0</v>
      </c>
      <c r="L23" s="232">
        <f>'Revenue Build'!L233</f>
        <v>0</v>
      </c>
      <c r="M23" s="232">
        <f>'Revenue Build'!M233</f>
        <v>0</v>
      </c>
      <c r="N23" s="232">
        <f>'Revenue Build'!N233</f>
        <v>7.4999999999999997E-2</v>
      </c>
      <c r="O23" s="232">
        <f>'Revenue Build'!O233</f>
        <v>0</v>
      </c>
      <c r="P23" s="232">
        <f>'Revenue Build'!P233</f>
        <v>0</v>
      </c>
      <c r="Q23" s="232">
        <f>'Revenue Build'!Q233</f>
        <v>0</v>
      </c>
      <c r="R23" s="232">
        <f>'Revenue Build'!R233</f>
        <v>0</v>
      </c>
      <c r="S23" s="232">
        <f>'Revenue Build'!S233</f>
        <v>0</v>
      </c>
      <c r="T23" s="232">
        <f>'Revenue Build'!T233</f>
        <v>0</v>
      </c>
      <c r="U23" s="232">
        <f>'Revenue Build'!U233</f>
        <v>1</v>
      </c>
      <c r="V23" s="232">
        <f>'Revenue Build'!V233</f>
        <v>1</v>
      </c>
      <c r="W23" s="232">
        <f>'Revenue Build'!W233</f>
        <v>1</v>
      </c>
      <c r="X23" s="232">
        <f>'Revenue Build'!X233</f>
        <v>1</v>
      </c>
      <c r="Y23" s="232">
        <f>'Revenue Build'!Y233</f>
        <v>1</v>
      </c>
      <c r="Z23" s="232">
        <f>'Revenue Build'!Z233</f>
        <v>1</v>
      </c>
      <c r="AA23" s="232">
        <f>'Revenue Build'!AA233</f>
        <v>1</v>
      </c>
      <c r="AB23" s="232">
        <f>'Revenue Build'!AB233</f>
        <v>2</v>
      </c>
      <c r="AC23" s="232">
        <f>'Revenue Build'!AC233</f>
        <v>2</v>
      </c>
      <c r="AD23" s="232">
        <f>'Revenue Build'!AD233</f>
        <v>2</v>
      </c>
      <c r="AE23" s="232">
        <f>'Revenue Build'!AE233</f>
        <v>2</v>
      </c>
      <c r="AF23" s="232">
        <f>'Revenue Build'!AF233</f>
        <v>3</v>
      </c>
      <c r="AG23" s="232">
        <f>'Revenue Build'!AG233</f>
        <v>3</v>
      </c>
      <c r="AH23" s="232">
        <f>'Revenue Build'!AH233</f>
        <v>4</v>
      </c>
      <c r="AI23" s="232">
        <f>'Revenue Build'!AI233</f>
        <v>4</v>
      </c>
      <c r="AJ23" s="232">
        <f>'Revenue Build'!AJ233</f>
        <v>5</v>
      </c>
      <c r="AK23" s="232">
        <f>'Revenue Build'!AK233</f>
        <v>5</v>
      </c>
      <c r="AL23" s="232">
        <f>'Revenue Build'!AL233</f>
        <v>6</v>
      </c>
      <c r="AM23" s="232">
        <f>'Revenue Build'!AM233</f>
        <v>6</v>
      </c>
      <c r="AN23" s="232">
        <f>'Revenue Build'!AN233</f>
        <v>7</v>
      </c>
      <c r="AO23" s="232">
        <f>'Revenue Build'!AO233</f>
        <v>7</v>
      </c>
    </row>
    <row r="24" spans="1:41" s="46" customFormat="1" ht="15">
      <c r="B24" s="49" t="s">
        <v>196</v>
      </c>
      <c r="D24" s="232"/>
      <c r="E24" s="232"/>
      <c r="F24" s="232">
        <f>'Revenue Build'!F234</f>
        <v>0</v>
      </c>
      <c r="G24" s="232">
        <f>'Revenue Build'!G234</f>
        <v>0</v>
      </c>
      <c r="H24" s="232">
        <f>'Revenue Build'!H234</f>
        <v>0</v>
      </c>
      <c r="I24" s="232">
        <f>'Revenue Build'!I234</f>
        <v>0</v>
      </c>
      <c r="J24" s="232">
        <f>'Revenue Build'!J234</f>
        <v>0</v>
      </c>
      <c r="K24" s="232">
        <f>'Revenue Build'!K234</f>
        <v>2</v>
      </c>
      <c r="L24" s="232">
        <f>'Revenue Build'!L234</f>
        <v>4</v>
      </c>
      <c r="M24" s="232">
        <f>'Revenue Build'!M234</f>
        <v>6</v>
      </c>
      <c r="N24" s="232">
        <f>'Revenue Build'!N234</f>
        <v>8.0749999999999993</v>
      </c>
      <c r="O24" s="232">
        <f>'Revenue Build'!O234</f>
        <v>10.074999999999999</v>
      </c>
      <c r="P24" s="232">
        <f>'Revenue Build'!P234</f>
        <v>12.074999999999999</v>
      </c>
      <c r="Q24" s="232">
        <f>'Revenue Build'!Q234</f>
        <v>14.074999999999999</v>
      </c>
      <c r="R24" s="232">
        <f>'Revenue Build'!R234</f>
        <v>27.074999999999999</v>
      </c>
      <c r="S24" s="232">
        <f>'Revenue Build'!S234</f>
        <v>40.075000000000003</v>
      </c>
      <c r="T24" s="232">
        <f>'Revenue Build'!T234</f>
        <v>53.075000000000003</v>
      </c>
      <c r="U24" s="232">
        <f>'Revenue Build'!U234</f>
        <v>67.075000000000003</v>
      </c>
      <c r="V24" s="232">
        <f>'Revenue Build'!V234</f>
        <v>81.075000000000003</v>
      </c>
      <c r="W24" s="232">
        <f>'Revenue Build'!W234</f>
        <v>95.075000000000003</v>
      </c>
      <c r="X24" s="232">
        <f>'Revenue Build'!X234</f>
        <v>109.075</v>
      </c>
      <c r="Y24" s="232">
        <f>'Revenue Build'!Y234</f>
        <v>123.075</v>
      </c>
      <c r="Z24" s="232">
        <f>'Revenue Build'!Z234</f>
        <v>137.07499999999999</v>
      </c>
      <c r="AA24" s="232">
        <f>'Revenue Build'!AA234</f>
        <v>151.07499999999999</v>
      </c>
      <c r="AB24" s="232">
        <f>'Revenue Build'!AB234</f>
        <v>166.07499999999999</v>
      </c>
      <c r="AC24" s="232">
        <f>'Revenue Build'!AC234</f>
        <v>181.07499999999999</v>
      </c>
      <c r="AD24" s="232">
        <f>'Revenue Build'!AD234</f>
        <v>236.07499999999999</v>
      </c>
      <c r="AE24" s="232">
        <f>'Revenue Build'!AE234</f>
        <v>291.07499999999999</v>
      </c>
      <c r="AF24" s="232">
        <f>'Revenue Build'!AF234</f>
        <v>347.07499999999999</v>
      </c>
      <c r="AG24" s="232">
        <f>'Revenue Build'!AG234</f>
        <v>403.07499999999999</v>
      </c>
      <c r="AH24" s="232">
        <f>'Revenue Build'!AH234</f>
        <v>460.07499999999999</v>
      </c>
      <c r="AI24" s="232">
        <f>'Revenue Build'!AI234</f>
        <v>517.07500000000005</v>
      </c>
      <c r="AJ24" s="232">
        <f>'Revenue Build'!AJ234</f>
        <v>575.07500000000005</v>
      </c>
      <c r="AK24" s="232">
        <f>'Revenue Build'!AK234</f>
        <v>633.07500000000005</v>
      </c>
      <c r="AL24" s="232">
        <f>'Revenue Build'!AL234</f>
        <v>692.07500000000005</v>
      </c>
      <c r="AM24" s="232">
        <f>'Revenue Build'!AM234</f>
        <v>751.07500000000005</v>
      </c>
      <c r="AN24" s="232">
        <f>'Revenue Build'!AN234</f>
        <v>811.07500000000005</v>
      </c>
      <c r="AO24" s="232">
        <f>'Revenue Build'!AO234</f>
        <v>871.07500000000005</v>
      </c>
    </row>
    <row r="25" spans="1:41" s="46" customFormat="1" ht="13.35" customHeight="1"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</row>
    <row r="26" spans="1:41" s="46" customFormat="1" ht="15">
      <c r="A26" s="46" t="s">
        <v>47</v>
      </c>
      <c r="B26" s="228" t="s">
        <v>193</v>
      </c>
      <c r="C26" s="229"/>
      <c r="D26" s="228"/>
      <c r="E26" s="228"/>
      <c r="F26" s="230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30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30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 t="s">
        <v>47</v>
      </c>
    </row>
    <row r="27" spans="1:41" customFormat="1" ht="5.0999999999999996" customHeight="1"/>
    <row r="28" spans="1:41" s="46" customFormat="1" ht="13.35" customHeight="1">
      <c r="B28" s="235" t="s">
        <v>322</v>
      </c>
      <c r="C28" s="233"/>
      <c r="F28" s="234"/>
      <c r="R28" s="234"/>
      <c r="AD28" s="234"/>
    </row>
    <row r="29" spans="1:41" s="46" customFormat="1" ht="13.35" customHeight="1">
      <c r="B29" s="49" t="s">
        <v>187</v>
      </c>
      <c r="C29" s="231"/>
      <c r="F29" s="365">
        <f>'Revenue Build'!F221</f>
        <v>0</v>
      </c>
      <c r="G29" s="366">
        <f>'Revenue Build'!G221</f>
        <v>0</v>
      </c>
      <c r="H29" s="366">
        <f>'Revenue Build'!H221</f>
        <v>0</v>
      </c>
      <c r="I29" s="366">
        <f>'Revenue Build'!I221</f>
        <v>0</v>
      </c>
      <c r="J29" s="366">
        <f>'Revenue Build'!J221</f>
        <v>0</v>
      </c>
      <c r="K29" s="366">
        <f>'Revenue Build'!K221</f>
        <v>9000</v>
      </c>
      <c r="L29" s="366">
        <f>'Revenue Build'!L221</f>
        <v>75000</v>
      </c>
      <c r="M29" s="366">
        <f>'Revenue Build'!M221</f>
        <v>40500</v>
      </c>
      <c r="N29" s="366">
        <f>'Revenue Build'!N221</f>
        <v>120000</v>
      </c>
      <c r="O29" s="366">
        <f>'Revenue Build'!O221</f>
        <v>54000</v>
      </c>
      <c r="P29" s="366">
        <f>'Revenue Build'!P221</f>
        <v>31500</v>
      </c>
      <c r="Q29" s="366">
        <f>'Revenue Build'!Q221</f>
        <v>9000</v>
      </c>
      <c r="R29" s="366">
        <f>'Revenue Build'!R221</f>
        <v>78000</v>
      </c>
      <c r="S29" s="366">
        <f>'Revenue Build'!S221</f>
        <v>78000</v>
      </c>
      <c r="T29" s="366">
        <f>'Revenue Build'!T221</f>
        <v>78000</v>
      </c>
      <c r="U29" s="366">
        <f>'Revenue Build'!U221</f>
        <v>78000</v>
      </c>
      <c r="V29" s="366">
        <f>'Revenue Build'!V221</f>
        <v>78000</v>
      </c>
      <c r="W29" s="366">
        <f>'Revenue Build'!W221</f>
        <v>78000</v>
      </c>
      <c r="X29" s="366">
        <f>'Revenue Build'!X221</f>
        <v>78000</v>
      </c>
      <c r="Y29" s="366">
        <f>'Revenue Build'!Y221</f>
        <v>78000</v>
      </c>
      <c r="Z29" s="366">
        <f>'Revenue Build'!Z221</f>
        <v>78000</v>
      </c>
      <c r="AA29" s="366">
        <f>'Revenue Build'!AA221</f>
        <v>78000</v>
      </c>
      <c r="AB29" s="366">
        <f>'Revenue Build'!AB221</f>
        <v>78000</v>
      </c>
      <c r="AC29" s="366">
        <f>'Revenue Build'!AC221</f>
        <v>78000</v>
      </c>
      <c r="AD29" s="366">
        <f>'Revenue Build'!AD221</f>
        <v>315000</v>
      </c>
      <c r="AE29" s="366">
        <f>'Revenue Build'!AE221</f>
        <v>315000</v>
      </c>
      <c r="AF29" s="366">
        <f>'Revenue Build'!AF221</f>
        <v>315000</v>
      </c>
      <c r="AG29" s="366">
        <f>'Revenue Build'!AG221</f>
        <v>315000</v>
      </c>
      <c r="AH29" s="366">
        <f>'Revenue Build'!AH221</f>
        <v>315000</v>
      </c>
      <c r="AI29" s="366">
        <f>'Revenue Build'!AI221</f>
        <v>315000</v>
      </c>
      <c r="AJ29" s="366">
        <f>'Revenue Build'!AJ221</f>
        <v>315000</v>
      </c>
      <c r="AK29" s="366">
        <f>'Revenue Build'!AK221</f>
        <v>315000</v>
      </c>
      <c r="AL29" s="366">
        <f>'Revenue Build'!AL221</f>
        <v>315000</v>
      </c>
      <c r="AM29" s="366">
        <f>'Revenue Build'!AM221</f>
        <v>315000</v>
      </c>
      <c r="AN29" s="366">
        <f>'Revenue Build'!AN221</f>
        <v>315000</v>
      </c>
      <c r="AO29" s="366">
        <f>'Revenue Build'!AO221</f>
        <v>315000</v>
      </c>
    </row>
    <row r="30" spans="1:41" s="46" customFormat="1" ht="13.35" customHeight="1">
      <c r="B30" s="49" t="s">
        <v>189</v>
      </c>
      <c r="C30" s="231"/>
      <c r="F30" s="367">
        <f>'Revenue Build'!F222</f>
        <v>0</v>
      </c>
      <c r="G30" s="368">
        <f>'Revenue Build'!G222</f>
        <v>0</v>
      </c>
      <c r="H30" s="368">
        <f>'Revenue Build'!H222</f>
        <v>0</v>
      </c>
      <c r="I30" s="368">
        <f>'Revenue Build'!I222</f>
        <v>0</v>
      </c>
      <c r="J30" s="368">
        <f>'Revenue Build'!J222</f>
        <v>0</v>
      </c>
      <c r="K30" s="368">
        <f>'Revenue Build'!K222</f>
        <v>4000</v>
      </c>
      <c r="L30" s="368">
        <f>'Revenue Build'!L222</f>
        <v>12000</v>
      </c>
      <c r="M30" s="368">
        <f>'Revenue Build'!M222</f>
        <v>12000</v>
      </c>
      <c r="N30" s="368">
        <f>'Revenue Build'!N222</f>
        <v>28000</v>
      </c>
      <c r="O30" s="368">
        <f>'Revenue Build'!O222</f>
        <v>28000</v>
      </c>
      <c r="P30" s="368">
        <f>'Revenue Build'!P222</f>
        <v>24000</v>
      </c>
      <c r="Q30" s="368">
        <f>'Revenue Build'!Q222</f>
        <v>12000</v>
      </c>
      <c r="R30" s="368">
        <f>'Revenue Build'!R222</f>
        <v>52000</v>
      </c>
      <c r="S30" s="368">
        <f>'Revenue Build'!S222</f>
        <v>52000</v>
      </c>
      <c r="T30" s="368">
        <f>'Revenue Build'!T222</f>
        <v>52000</v>
      </c>
      <c r="U30" s="368">
        <f>'Revenue Build'!U222</f>
        <v>52000</v>
      </c>
      <c r="V30" s="368">
        <f>'Revenue Build'!V222</f>
        <v>52000</v>
      </c>
      <c r="W30" s="368">
        <f>'Revenue Build'!W222</f>
        <v>52000</v>
      </c>
      <c r="X30" s="368">
        <f>'Revenue Build'!X222</f>
        <v>52000</v>
      </c>
      <c r="Y30" s="368">
        <f>'Revenue Build'!Y222</f>
        <v>52000</v>
      </c>
      <c r="Z30" s="368">
        <f>'Revenue Build'!Z222</f>
        <v>52000</v>
      </c>
      <c r="AA30" s="368">
        <f>'Revenue Build'!AA222</f>
        <v>52000</v>
      </c>
      <c r="AB30" s="368">
        <f>'Revenue Build'!AB222</f>
        <v>52000</v>
      </c>
      <c r="AC30" s="368">
        <f>'Revenue Build'!AC222</f>
        <v>52000</v>
      </c>
      <c r="AD30" s="368">
        <f>'Revenue Build'!AD222</f>
        <v>140000</v>
      </c>
      <c r="AE30" s="368">
        <f>'Revenue Build'!AE222</f>
        <v>140000</v>
      </c>
      <c r="AF30" s="368">
        <f>'Revenue Build'!AF222</f>
        <v>140000</v>
      </c>
      <c r="AG30" s="368">
        <f>'Revenue Build'!AG222</f>
        <v>140000</v>
      </c>
      <c r="AH30" s="368">
        <f>'Revenue Build'!AH222</f>
        <v>140000</v>
      </c>
      <c r="AI30" s="368">
        <f>'Revenue Build'!AI222</f>
        <v>140000</v>
      </c>
      <c r="AJ30" s="368">
        <f>'Revenue Build'!AJ222</f>
        <v>140000</v>
      </c>
      <c r="AK30" s="368">
        <f>'Revenue Build'!AK222</f>
        <v>140000</v>
      </c>
      <c r="AL30" s="368">
        <f>'Revenue Build'!AL222</f>
        <v>140000</v>
      </c>
      <c r="AM30" s="368">
        <f>'Revenue Build'!AM222</f>
        <v>140000</v>
      </c>
      <c r="AN30" s="368">
        <f>'Revenue Build'!AN222</f>
        <v>140000</v>
      </c>
      <c r="AO30" s="368">
        <f>'Revenue Build'!AO222</f>
        <v>140000</v>
      </c>
    </row>
    <row r="31" spans="1:41" s="46" customFormat="1" ht="13.35" customHeight="1">
      <c r="B31" s="49" t="s">
        <v>188</v>
      </c>
      <c r="C31" s="231"/>
      <c r="F31" s="369">
        <f>'Revenue Build'!F157</f>
        <v>2221.9508333333333</v>
      </c>
      <c r="G31" s="370">
        <f>'Revenue Build'!G157</f>
        <v>2221.9508333333333</v>
      </c>
      <c r="H31" s="370">
        <f>'Revenue Build'!H157</f>
        <v>2221.9508333333333</v>
      </c>
      <c r="I31" s="370">
        <f>'Revenue Build'!I157</f>
        <v>2221.9508333333333</v>
      </c>
      <c r="J31" s="370">
        <f>'Revenue Build'!J157</f>
        <v>2221.9508333333333</v>
      </c>
      <c r="K31" s="370">
        <f>'Revenue Build'!K157</f>
        <v>2471.9508333333333</v>
      </c>
      <c r="L31" s="370">
        <f>'Revenue Build'!L157</f>
        <v>4555.2841666666673</v>
      </c>
      <c r="M31" s="370">
        <f>'Revenue Build'!M157</f>
        <v>5680.2841666666673</v>
      </c>
      <c r="N31" s="370">
        <f>'Revenue Build'!N157</f>
        <v>9013.6175000000003</v>
      </c>
      <c r="O31" s="370">
        <f>'Revenue Build'!O157</f>
        <v>10513.6175</v>
      </c>
      <c r="P31" s="370">
        <f>'Revenue Build'!P157</f>
        <v>11388.6175</v>
      </c>
      <c r="Q31" s="370">
        <f>'Revenue Build'!Q157</f>
        <v>11638.6175</v>
      </c>
      <c r="R31" s="370">
        <f>'Revenue Build'!R157</f>
        <v>13805.284166666668</v>
      </c>
      <c r="S31" s="370">
        <f>'Revenue Build'!S157</f>
        <v>15971.950833333334</v>
      </c>
      <c r="T31" s="370">
        <f>'Revenue Build'!T157</f>
        <v>18138.6175</v>
      </c>
      <c r="U31" s="370">
        <f>'Revenue Build'!U157</f>
        <v>20305.284166666668</v>
      </c>
      <c r="V31" s="370">
        <f>'Revenue Build'!V157</f>
        <v>22471.950833333336</v>
      </c>
      <c r="W31" s="370">
        <f>'Revenue Build'!W157</f>
        <v>24638.6175</v>
      </c>
      <c r="X31" s="370">
        <f>'Revenue Build'!X157</f>
        <v>26805.284166666668</v>
      </c>
      <c r="Y31" s="370">
        <f>'Revenue Build'!Y157</f>
        <v>28971.950833333336</v>
      </c>
      <c r="Z31" s="370">
        <f>'Revenue Build'!Z157</f>
        <v>31138.6175</v>
      </c>
      <c r="AA31" s="370">
        <f>'Revenue Build'!AA157</f>
        <v>33305.284166666672</v>
      </c>
      <c r="AB31" s="370">
        <f>'Revenue Build'!AB157</f>
        <v>35471.950833333336</v>
      </c>
      <c r="AC31" s="370">
        <f>'Revenue Build'!AC157</f>
        <v>37638.6175</v>
      </c>
      <c r="AD31" s="370">
        <f>'Revenue Build'!AD157</f>
        <v>46388.6175</v>
      </c>
      <c r="AE31" s="370">
        <f>'Revenue Build'!AE157</f>
        <v>55138.6175</v>
      </c>
      <c r="AF31" s="370">
        <f>'Revenue Build'!AF157</f>
        <v>63888.617500000008</v>
      </c>
      <c r="AG31" s="370">
        <f>'Revenue Build'!AG157</f>
        <v>72638.617500000008</v>
      </c>
      <c r="AH31" s="370">
        <f>'Revenue Build'!AH157</f>
        <v>81388.617500000008</v>
      </c>
      <c r="AI31" s="370">
        <f>'Revenue Build'!AI157</f>
        <v>90138.617500000008</v>
      </c>
      <c r="AJ31" s="370">
        <f>'Revenue Build'!AJ157</f>
        <v>98816.997500000012</v>
      </c>
      <c r="AK31" s="370">
        <f>'Revenue Build'!AK157</f>
        <v>107566.99750000001</v>
      </c>
      <c r="AL31" s="370">
        <f>'Revenue Build'!AL157</f>
        <v>116208.36750000001</v>
      </c>
      <c r="AM31" s="370">
        <f>'Revenue Build'!AM157</f>
        <v>124958.36750000001</v>
      </c>
      <c r="AN31" s="370">
        <f>'Revenue Build'!AN157</f>
        <v>133708.36750000002</v>
      </c>
      <c r="AO31" s="370">
        <f>'Revenue Build'!AO157</f>
        <v>142458.36750000002</v>
      </c>
    </row>
    <row r="32" spans="1:41" s="46" customFormat="1" ht="13.35" customHeight="1">
      <c r="B32" s="236" t="s">
        <v>323</v>
      </c>
      <c r="C32" s="237"/>
      <c r="D32" s="236"/>
      <c r="E32" s="236"/>
      <c r="F32" s="371">
        <f t="shared" ref="F32:AO32" si="3">SUM(F29:F31)</f>
        <v>2221.9508333333333</v>
      </c>
      <c r="G32" s="371">
        <f t="shared" si="3"/>
        <v>2221.9508333333333</v>
      </c>
      <c r="H32" s="371">
        <f t="shared" si="3"/>
        <v>2221.9508333333333</v>
      </c>
      <c r="I32" s="371">
        <f t="shared" si="3"/>
        <v>2221.9508333333333</v>
      </c>
      <c r="J32" s="371">
        <f t="shared" si="3"/>
        <v>2221.9508333333333</v>
      </c>
      <c r="K32" s="371">
        <f t="shared" si="3"/>
        <v>15471.950833333332</v>
      </c>
      <c r="L32" s="371">
        <f t="shared" si="3"/>
        <v>91555.284166666665</v>
      </c>
      <c r="M32" s="371">
        <f t="shared" si="3"/>
        <v>58180.284166666665</v>
      </c>
      <c r="N32" s="371">
        <f t="shared" si="3"/>
        <v>157013.61749999999</v>
      </c>
      <c r="O32" s="371">
        <f t="shared" si="3"/>
        <v>92513.617499999993</v>
      </c>
      <c r="P32" s="371">
        <f t="shared" si="3"/>
        <v>66888.617499999993</v>
      </c>
      <c r="Q32" s="371">
        <f t="shared" si="3"/>
        <v>32638.6175</v>
      </c>
      <c r="R32" s="371">
        <f t="shared" si="3"/>
        <v>143805.28416666668</v>
      </c>
      <c r="S32" s="371">
        <f t="shared" si="3"/>
        <v>145971.95083333334</v>
      </c>
      <c r="T32" s="371">
        <f t="shared" si="3"/>
        <v>148138.61749999999</v>
      </c>
      <c r="U32" s="371">
        <f t="shared" si="3"/>
        <v>150305.28416666668</v>
      </c>
      <c r="V32" s="371">
        <f t="shared" si="3"/>
        <v>152471.95083333334</v>
      </c>
      <c r="W32" s="371">
        <f t="shared" si="3"/>
        <v>154638.61749999999</v>
      </c>
      <c r="X32" s="371">
        <f t="shared" si="3"/>
        <v>156805.28416666668</v>
      </c>
      <c r="Y32" s="371">
        <f t="shared" si="3"/>
        <v>158971.95083333334</v>
      </c>
      <c r="Z32" s="371">
        <f t="shared" si="3"/>
        <v>161138.61749999999</v>
      </c>
      <c r="AA32" s="371">
        <f t="shared" si="3"/>
        <v>163305.28416666668</v>
      </c>
      <c r="AB32" s="371">
        <f t="shared" si="3"/>
        <v>165471.95083333334</v>
      </c>
      <c r="AC32" s="371">
        <f t="shared" si="3"/>
        <v>167638.61749999999</v>
      </c>
      <c r="AD32" s="371">
        <f t="shared" si="3"/>
        <v>501388.61749999999</v>
      </c>
      <c r="AE32" s="371">
        <f t="shared" si="3"/>
        <v>510138.61749999999</v>
      </c>
      <c r="AF32" s="371">
        <f t="shared" si="3"/>
        <v>518888.61749999999</v>
      </c>
      <c r="AG32" s="371">
        <f t="shared" si="3"/>
        <v>527638.61750000005</v>
      </c>
      <c r="AH32" s="371">
        <f t="shared" si="3"/>
        <v>536388.61750000005</v>
      </c>
      <c r="AI32" s="371">
        <f t="shared" si="3"/>
        <v>545138.61750000005</v>
      </c>
      <c r="AJ32" s="371">
        <f t="shared" si="3"/>
        <v>553816.99750000006</v>
      </c>
      <c r="AK32" s="371">
        <f t="shared" si="3"/>
        <v>562566.99750000006</v>
      </c>
      <c r="AL32" s="371">
        <f t="shared" si="3"/>
        <v>571208.36750000005</v>
      </c>
      <c r="AM32" s="371">
        <f t="shared" si="3"/>
        <v>579958.36750000005</v>
      </c>
      <c r="AN32" s="371">
        <f t="shared" si="3"/>
        <v>588708.36750000005</v>
      </c>
      <c r="AO32" s="371">
        <f t="shared" si="3"/>
        <v>597458.36750000005</v>
      </c>
    </row>
    <row r="33" spans="1:41" customFormat="1" ht="5.0999999999999996" customHeight="1"/>
    <row r="34" spans="1:41" s="46" customFormat="1" ht="13.35" customHeight="1">
      <c r="B34" s="235" t="s">
        <v>316</v>
      </c>
      <c r="C34" s="233"/>
      <c r="F34" s="264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4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4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</row>
    <row r="35" spans="1:41" s="46" customFormat="1" ht="13.35" customHeight="1">
      <c r="B35" s="49" t="s">
        <v>190</v>
      </c>
      <c r="C35" s="233"/>
      <c r="F35" s="365">
        <f>'Revenue Build'!F239</f>
        <v>0</v>
      </c>
      <c r="G35" s="366">
        <f>'Revenue Build'!G239</f>
        <v>0</v>
      </c>
      <c r="H35" s="366">
        <f>'Revenue Build'!H239</f>
        <v>0</v>
      </c>
      <c r="I35" s="366">
        <f>'Revenue Build'!I239</f>
        <v>0</v>
      </c>
      <c r="J35" s="366">
        <f>'Revenue Build'!J239</f>
        <v>0</v>
      </c>
      <c r="K35" s="366">
        <f>'Revenue Build'!K239</f>
        <v>99</v>
      </c>
      <c r="L35" s="366">
        <f>'Revenue Build'!L239</f>
        <v>297</v>
      </c>
      <c r="M35" s="366">
        <f>'Revenue Build'!M239</f>
        <v>495</v>
      </c>
      <c r="N35" s="366">
        <f>'Revenue Build'!N239</f>
        <v>696.71249999999998</v>
      </c>
      <c r="O35" s="366">
        <f>'Revenue Build'!O239</f>
        <v>898.42499999999995</v>
      </c>
      <c r="P35" s="366">
        <f>'Revenue Build'!P239</f>
        <v>1096.425</v>
      </c>
      <c r="Q35" s="366">
        <f>'Revenue Build'!Q239</f>
        <v>1294.425</v>
      </c>
      <c r="R35" s="366">
        <f>'Revenue Build'!R239</f>
        <v>3065.6749999999997</v>
      </c>
      <c r="S35" s="366">
        <f>'Revenue Build'!S239</f>
        <v>5002.6750000000002</v>
      </c>
      <c r="T35" s="366">
        <f>'Revenue Build'!T239</f>
        <v>6939.6750000000002</v>
      </c>
      <c r="U35" s="366">
        <f>'Revenue Build'!U239</f>
        <v>8951.1750000000011</v>
      </c>
      <c r="V35" s="366">
        <f>'Revenue Build'!V239</f>
        <v>11037.175000000001</v>
      </c>
      <c r="W35" s="366">
        <f>'Revenue Build'!W239</f>
        <v>13123.175000000001</v>
      </c>
      <c r="X35" s="366">
        <f>'Revenue Build'!X239</f>
        <v>15209.175000000001</v>
      </c>
      <c r="Y35" s="366">
        <f>'Revenue Build'!Y239</f>
        <v>17295.174999999999</v>
      </c>
      <c r="Z35" s="366">
        <f>'Revenue Build'!Z239</f>
        <v>19381.174999999999</v>
      </c>
      <c r="AA35" s="366">
        <f>'Revenue Build'!AA239</f>
        <v>21467.174999999999</v>
      </c>
      <c r="AB35" s="366">
        <f>'Revenue Build'!AB239</f>
        <v>23627.674999999999</v>
      </c>
      <c r="AC35" s="366">
        <f>'Revenue Build'!AC239</f>
        <v>25862.674999999999</v>
      </c>
      <c r="AD35" s="366">
        <f>'Revenue Build'!AD239</f>
        <v>41506.424999999996</v>
      </c>
      <c r="AE35" s="366">
        <f>'Revenue Build'!AE239</f>
        <v>52451.424999999996</v>
      </c>
      <c r="AF35" s="366">
        <f>'Revenue Build'!AF239</f>
        <v>63495.924999999996</v>
      </c>
      <c r="AG35" s="366">
        <f>'Revenue Build'!AG239</f>
        <v>74639.925000000003</v>
      </c>
      <c r="AH35" s="366">
        <f>'Revenue Build'!AH239</f>
        <v>85883.425000000003</v>
      </c>
      <c r="AI35" s="366">
        <f>'Revenue Build'!AI239</f>
        <v>97226.425000000003</v>
      </c>
      <c r="AJ35" s="366">
        <f>'Revenue Build'!AJ239</f>
        <v>108668.925</v>
      </c>
      <c r="AK35" s="366">
        <f>'Revenue Build'!AK239</f>
        <v>120210.925</v>
      </c>
      <c r="AL35" s="366">
        <f>'Revenue Build'!AL239</f>
        <v>131852.42500000002</v>
      </c>
      <c r="AM35" s="366">
        <f>'Revenue Build'!AM239</f>
        <v>143593.42500000002</v>
      </c>
      <c r="AN35" s="366">
        <f>'Revenue Build'!AN239</f>
        <v>155433.92500000002</v>
      </c>
      <c r="AO35" s="366">
        <f>'Revenue Build'!AO239</f>
        <v>167373.92500000002</v>
      </c>
    </row>
    <row r="36" spans="1:41" s="46" customFormat="1" ht="13.35" customHeight="1">
      <c r="B36" s="236" t="s">
        <v>317</v>
      </c>
      <c r="C36" s="237"/>
      <c r="D36" s="236"/>
      <c r="E36" s="236"/>
      <c r="F36" s="371">
        <f t="shared" ref="F36:AO36" si="4">SUM(F35:F35)</f>
        <v>0</v>
      </c>
      <c r="G36" s="371">
        <f t="shared" si="4"/>
        <v>0</v>
      </c>
      <c r="H36" s="371">
        <f t="shared" si="4"/>
        <v>0</v>
      </c>
      <c r="I36" s="371">
        <f t="shared" si="4"/>
        <v>0</v>
      </c>
      <c r="J36" s="371">
        <f t="shared" si="4"/>
        <v>0</v>
      </c>
      <c r="K36" s="371">
        <f t="shared" si="4"/>
        <v>99</v>
      </c>
      <c r="L36" s="371">
        <f t="shared" si="4"/>
        <v>297</v>
      </c>
      <c r="M36" s="371">
        <f t="shared" si="4"/>
        <v>495</v>
      </c>
      <c r="N36" s="371">
        <f t="shared" si="4"/>
        <v>696.71249999999998</v>
      </c>
      <c r="O36" s="371">
        <f t="shared" si="4"/>
        <v>898.42499999999995</v>
      </c>
      <c r="P36" s="371">
        <f t="shared" si="4"/>
        <v>1096.425</v>
      </c>
      <c r="Q36" s="371">
        <f t="shared" si="4"/>
        <v>1294.425</v>
      </c>
      <c r="R36" s="371">
        <f t="shared" si="4"/>
        <v>3065.6749999999997</v>
      </c>
      <c r="S36" s="371">
        <f t="shared" si="4"/>
        <v>5002.6750000000002</v>
      </c>
      <c r="T36" s="371">
        <f t="shared" si="4"/>
        <v>6939.6750000000002</v>
      </c>
      <c r="U36" s="371">
        <f t="shared" si="4"/>
        <v>8951.1750000000011</v>
      </c>
      <c r="V36" s="371">
        <f t="shared" si="4"/>
        <v>11037.175000000001</v>
      </c>
      <c r="W36" s="371">
        <f t="shared" si="4"/>
        <v>13123.175000000001</v>
      </c>
      <c r="X36" s="371">
        <f t="shared" si="4"/>
        <v>15209.175000000001</v>
      </c>
      <c r="Y36" s="371">
        <f t="shared" si="4"/>
        <v>17295.174999999999</v>
      </c>
      <c r="Z36" s="371">
        <f t="shared" si="4"/>
        <v>19381.174999999999</v>
      </c>
      <c r="AA36" s="371">
        <f t="shared" si="4"/>
        <v>21467.174999999999</v>
      </c>
      <c r="AB36" s="371">
        <f t="shared" si="4"/>
        <v>23627.674999999999</v>
      </c>
      <c r="AC36" s="371">
        <f t="shared" si="4"/>
        <v>25862.674999999999</v>
      </c>
      <c r="AD36" s="371">
        <f t="shared" si="4"/>
        <v>41506.424999999996</v>
      </c>
      <c r="AE36" s="371">
        <f t="shared" si="4"/>
        <v>52451.424999999996</v>
      </c>
      <c r="AF36" s="371">
        <f t="shared" si="4"/>
        <v>63495.924999999996</v>
      </c>
      <c r="AG36" s="371">
        <f t="shared" si="4"/>
        <v>74639.925000000003</v>
      </c>
      <c r="AH36" s="371">
        <f t="shared" si="4"/>
        <v>85883.425000000003</v>
      </c>
      <c r="AI36" s="371">
        <f t="shared" si="4"/>
        <v>97226.425000000003</v>
      </c>
      <c r="AJ36" s="371">
        <f t="shared" si="4"/>
        <v>108668.925</v>
      </c>
      <c r="AK36" s="371">
        <f t="shared" si="4"/>
        <v>120210.925</v>
      </c>
      <c r="AL36" s="371">
        <f t="shared" si="4"/>
        <v>131852.42500000002</v>
      </c>
      <c r="AM36" s="371">
        <f t="shared" si="4"/>
        <v>143593.42500000002</v>
      </c>
      <c r="AN36" s="371">
        <f t="shared" si="4"/>
        <v>155433.92500000002</v>
      </c>
      <c r="AO36" s="371">
        <f t="shared" si="4"/>
        <v>167373.92500000002</v>
      </c>
    </row>
    <row r="37" spans="1:41" s="46" customFormat="1" ht="13.35" customHeight="1">
      <c r="C37" s="238"/>
      <c r="D37" s="239"/>
      <c r="E37" s="239"/>
      <c r="F37" s="266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6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6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</row>
    <row r="38" spans="1:41" s="46" customFormat="1" ht="15">
      <c r="A38" s="46" t="s">
        <v>47</v>
      </c>
      <c r="B38" s="381" t="s">
        <v>91</v>
      </c>
      <c r="C38" s="382"/>
      <c r="D38" s="383"/>
      <c r="E38" s="383"/>
      <c r="F38" s="384">
        <f t="shared" ref="F38:AO38" si="5">SUM(F36,F32)</f>
        <v>2221.9508333333333</v>
      </c>
      <c r="G38" s="384">
        <f t="shared" si="5"/>
        <v>2221.9508333333333</v>
      </c>
      <c r="H38" s="384">
        <f t="shared" si="5"/>
        <v>2221.9508333333333</v>
      </c>
      <c r="I38" s="384">
        <f t="shared" si="5"/>
        <v>2221.9508333333333</v>
      </c>
      <c r="J38" s="384">
        <f t="shared" si="5"/>
        <v>2221.9508333333333</v>
      </c>
      <c r="K38" s="384">
        <f t="shared" si="5"/>
        <v>15570.950833333332</v>
      </c>
      <c r="L38" s="384">
        <f t="shared" si="5"/>
        <v>91852.284166666665</v>
      </c>
      <c r="M38" s="384">
        <f t="shared" si="5"/>
        <v>58675.284166666665</v>
      </c>
      <c r="N38" s="384">
        <f t="shared" si="5"/>
        <v>157710.32999999999</v>
      </c>
      <c r="O38" s="384">
        <f t="shared" si="5"/>
        <v>93412.042499999996</v>
      </c>
      <c r="P38" s="384">
        <f t="shared" si="5"/>
        <v>67985.042499999996</v>
      </c>
      <c r="Q38" s="384">
        <f t="shared" si="5"/>
        <v>33933.042500000003</v>
      </c>
      <c r="R38" s="384">
        <f t="shared" si="5"/>
        <v>146870.95916666667</v>
      </c>
      <c r="S38" s="384">
        <f t="shared" si="5"/>
        <v>150974.62583333332</v>
      </c>
      <c r="T38" s="384">
        <f t="shared" si="5"/>
        <v>155078.29249999998</v>
      </c>
      <c r="U38" s="384">
        <f t="shared" si="5"/>
        <v>159256.45916666667</v>
      </c>
      <c r="V38" s="384">
        <f t="shared" si="5"/>
        <v>163509.12583333332</v>
      </c>
      <c r="W38" s="384">
        <f t="shared" si="5"/>
        <v>167761.79249999998</v>
      </c>
      <c r="X38" s="384">
        <f t="shared" si="5"/>
        <v>172014.45916666667</v>
      </c>
      <c r="Y38" s="384">
        <f t="shared" si="5"/>
        <v>176267.12583333332</v>
      </c>
      <c r="Z38" s="384">
        <f t="shared" si="5"/>
        <v>180519.79249999998</v>
      </c>
      <c r="AA38" s="384">
        <f t="shared" si="5"/>
        <v>184772.45916666667</v>
      </c>
      <c r="AB38" s="384">
        <f t="shared" si="5"/>
        <v>189099.62583333332</v>
      </c>
      <c r="AC38" s="384">
        <f t="shared" si="5"/>
        <v>193501.29249999998</v>
      </c>
      <c r="AD38" s="384">
        <f t="shared" si="5"/>
        <v>542895.04249999998</v>
      </c>
      <c r="AE38" s="384">
        <f t="shared" si="5"/>
        <v>562590.04249999998</v>
      </c>
      <c r="AF38" s="384">
        <f t="shared" si="5"/>
        <v>582384.54249999998</v>
      </c>
      <c r="AG38" s="384">
        <f t="shared" si="5"/>
        <v>602278.5425000001</v>
      </c>
      <c r="AH38" s="384">
        <f t="shared" si="5"/>
        <v>622272.0425000001</v>
      </c>
      <c r="AI38" s="384">
        <f t="shared" si="5"/>
        <v>642365.0425000001</v>
      </c>
      <c r="AJ38" s="384">
        <f t="shared" si="5"/>
        <v>662485.9225000001</v>
      </c>
      <c r="AK38" s="384">
        <f t="shared" si="5"/>
        <v>682777.9225000001</v>
      </c>
      <c r="AL38" s="384">
        <f t="shared" si="5"/>
        <v>703060.7925000001</v>
      </c>
      <c r="AM38" s="384">
        <f t="shared" si="5"/>
        <v>723551.7925000001</v>
      </c>
      <c r="AN38" s="384">
        <f t="shared" si="5"/>
        <v>744142.2925000001</v>
      </c>
      <c r="AO38" s="384">
        <f t="shared" si="5"/>
        <v>764832.2925000001</v>
      </c>
    </row>
    <row r="39" spans="1:41" s="46" customFormat="1" ht="13.35" customHeight="1"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</row>
    <row r="40" spans="1:41" s="46" customFormat="1" ht="13.35" customHeight="1">
      <c r="B40" s="235" t="s">
        <v>309</v>
      </c>
      <c r="C40" s="565" t="s">
        <v>320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</row>
    <row r="41" spans="1:41" s="46" customFormat="1" ht="15">
      <c r="C41" s="565" t="s">
        <v>321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</row>
    <row r="42" spans="1:41" s="46" customFormat="1" ht="15">
      <c r="B42" s="46" t="s">
        <v>319</v>
      </c>
      <c r="C42" s="662">
        <f>'Model Drivers'!$C$26</f>
        <v>0.5</v>
      </c>
      <c r="F42" s="265">
        <f t="shared" ref="F42:AO42" si="6">-$C$42*F30</f>
        <v>0</v>
      </c>
      <c r="G42" s="265">
        <f t="shared" si="6"/>
        <v>0</v>
      </c>
      <c r="H42" s="265">
        <f t="shared" si="6"/>
        <v>0</v>
      </c>
      <c r="I42" s="265">
        <f t="shared" si="6"/>
        <v>0</v>
      </c>
      <c r="J42" s="265">
        <f t="shared" si="6"/>
        <v>0</v>
      </c>
      <c r="K42" s="265">
        <f t="shared" si="6"/>
        <v>-2000</v>
      </c>
      <c r="L42" s="265">
        <f t="shared" si="6"/>
        <v>-6000</v>
      </c>
      <c r="M42" s="265">
        <f t="shared" si="6"/>
        <v>-6000</v>
      </c>
      <c r="N42" s="265">
        <f t="shared" si="6"/>
        <v>-14000</v>
      </c>
      <c r="O42" s="265">
        <f t="shared" si="6"/>
        <v>-14000</v>
      </c>
      <c r="P42" s="265">
        <f t="shared" si="6"/>
        <v>-12000</v>
      </c>
      <c r="Q42" s="265">
        <f t="shared" si="6"/>
        <v>-6000</v>
      </c>
      <c r="R42" s="265">
        <f t="shared" si="6"/>
        <v>-26000</v>
      </c>
      <c r="S42" s="265">
        <f t="shared" si="6"/>
        <v>-26000</v>
      </c>
      <c r="T42" s="265">
        <f t="shared" si="6"/>
        <v>-26000</v>
      </c>
      <c r="U42" s="265">
        <f t="shared" si="6"/>
        <v>-26000</v>
      </c>
      <c r="V42" s="265">
        <f t="shared" si="6"/>
        <v>-26000</v>
      </c>
      <c r="W42" s="265">
        <f t="shared" si="6"/>
        <v>-26000</v>
      </c>
      <c r="X42" s="265">
        <f t="shared" si="6"/>
        <v>-26000</v>
      </c>
      <c r="Y42" s="265">
        <f t="shared" si="6"/>
        <v>-26000</v>
      </c>
      <c r="Z42" s="265">
        <f t="shared" si="6"/>
        <v>-26000</v>
      </c>
      <c r="AA42" s="265">
        <f t="shared" si="6"/>
        <v>-26000</v>
      </c>
      <c r="AB42" s="265">
        <f t="shared" si="6"/>
        <v>-26000</v>
      </c>
      <c r="AC42" s="265">
        <f t="shared" si="6"/>
        <v>-26000</v>
      </c>
      <c r="AD42" s="265">
        <f t="shared" si="6"/>
        <v>-70000</v>
      </c>
      <c r="AE42" s="265">
        <f t="shared" si="6"/>
        <v>-70000</v>
      </c>
      <c r="AF42" s="265">
        <f t="shared" si="6"/>
        <v>-70000</v>
      </c>
      <c r="AG42" s="265">
        <f t="shared" si="6"/>
        <v>-70000</v>
      </c>
      <c r="AH42" s="265">
        <f t="shared" si="6"/>
        <v>-70000</v>
      </c>
      <c r="AI42" s="265">
        <f t="shared" si="6"/>
        <v>-70000</v>
      </c>
      <c r="AJ42" s="265">
        <f t="shared" si="6"/>
        <v>-70000</v>
      </c>
      <c r="AK42" s="265">
        <f t="shared" si="6"/>
        <v>-70000</v>
      </c>
      <c r="AL42" s="265">
        <f t="shared" si="6"/>
        <v>-70000</v>
      </c>
      <c r="AM42" s="265">
        <f t="shared" si="6"/>
        <v>-70000</v>
      </c>
      <c r="AN42" s="265">
        <f t="shared" si="6"/>
        <v>-70000</v>
      </c>
      <c r="AO42" s="265">
        <f t="shared" si="6"/>
        <v>-70000</v>
      </c>
    </row>
    <row r="43" spans="1:41" s="46" customFormat="1" ht="15">
      <c r="B43" s="566" t="s">
        <v>310</v>
      </c>
      <c r="C43" s="567"/>
      <c r="D43" s="568"/>
      <c r="E43" s="568"/>
      <c r="F43" s="569">
        <f>SUM(F42)</f>
        <v>0</v>
      </c>
      <c r="G43" s="569">
        <f t="shared" ref="G43:AO43" si="7">SUM(G42)</f>
        <v>0</v>
      </c>
      <c r="H43" s="569">
        <f t="shared" si="7"/>
        <v>0</v>
      </c>
      <c r="I43" s="569">
        <f t="shared" si="7"/>
        <v>0</v>
      </c>
      <c r="J43" s="569">
        <f t="shared" si="7"/>
        <v>0</v>
      </c>
      <c r="K43" s="569">
        <f t="shared" si="7"/>
        <v>-2000</v>
      </c>
      <c r="L43" s="569">
        <f t="shared" si="7"/>
        <v>-6000</v>
      </c>
      <c r="M43" s="569">
        <f t="shared" si="7"/>
        <v>-6000</v>
      </c>
      <c r="N43" s="569">
        <f t="shared" si="7"/>
        <v>-14000</v>
      </c>
      <c r="O43" s="569">
        <f t="shared" si="7"/>
        <v>-14000</v>
      </c>
      <c r="P43" s="569">
        <f t="shared" si="7"/>
        <v>-12000</v>
      </c>
      <c r="Q43" s="569">
        <f t="shared" si="7"/>
        <v>-6000</v>
      </c>
      <c r="R43" s="569">
        <f t="shared" si="7"/>
        <v>-26000</v>
      </c>
      <c r="S43" s="569">
        <f t="shared" si="7"/>
        <v>-26000</v>
      </c>
      <c r="T43" s="569">
        <f t="shared" si="7"/>
        <v>-26000</v>
      </c>
      <c r="U43" s="569">
        <f t="shared" si="7"/>
        <v>-26000</v>
      </c>
      <c r="V43" s="569">
        <f t="shared" si="7"/>
        <v>-26000</v>
      </c>
      <c r="W43" s="569">
        <f t="shared" si="7"/>
        <v>-26000</v>
      </c>
      <c r="X43" s="569">
        <f t="shared" si="7"/>
        <v>-26000</v>
      </c>
      <c r="Y43" s="569">
        <f t="shared" si="7"/>
        <v>-26000</v>
      </c>
      <c r="Z43" s="569">
        <f t="shared" si="7"/>
        <v>-26000</v>
      </c>
      <c r="AA43" s="569">
        <f t="shared" si="7"/>
        <v>-26000</v>
      </c>
      <c r="AB43" s="569">
        <f t="shared" si="7"/>
        <v>-26000</v>
      </c>
      <c r="AC43" s="569">
        <f t="shared" si="7"/>
        <v>-26000</v>
      </c>
      <c r="AD43" s="569">
        <f t="shared" si="7"/>
        <v>-70000</v>
      </c>
      <c r="AE43" s="569">
        <f t="shared" si="7"/>
        <v>-70000</v>
      </c>
      <c r="AF43" s="569">
        <f t="shared" si="7"/>
        <v>-70000</v>
      </c>
      <c r="AG43" s="569">
        <f t="shared" si="7"/>
        <v>-70000</v>
      </c>
      <c r="AH43" s="569">
        <f t="shared" si="7"/>
        <v>-70000</v>
      </c>
      <c r="AI43" s="569">
        <f t="shared" si="7"/>
        <v>-70000</v>
      </c>
      <c r="AJ43" s="569">
        <f t="shared" si="7"/>
        <v>-70000</v>
      </c>
      <c r="AK43" s="569">
        <f t="shared" si="7"/>
        <v>-70000</v>
      </c>
      <c r="AL43" s="569">
        <f t="shared" si="7"/>
        <v>-70000</v>
      </c>
      <c r="AM43" s="569">
        <f t="shared" si="7"/>
        <v>-70000</v>
      </c>
      <c r="AN43" s="569">
        <f t="shared" si="7"/>
        <v>-70000</v>
      </c>
      <c r="AO43" s="569">
        <f t="shared" si="7"/>
        <v>-70000</v>
      </c>
    </row>
    <row r="44" spans="1:41" s="46" customFormat="1" ht="15">
      <c r="C44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</row>
    <row r="45" spans="1:41" s="46" customFormat="1" ht="13.35" customHeight="1"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</row>
    <row r="46" spans="1:41" s="46" customFormat="1" ht="13.35" customHeight="1">
      <c r="B46" s="235" t="s">
        <v>43</v>
      </c>
      <c r="C46" s="233"/>
      <c r="F46" s="268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4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4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</row>
    <row r="47" spans="1:41" s="46" customFormat="1" ht="13.35" customHeight="1">
      <c r="B47" s="46" t="s">
        <v>203</v>
      </c>
      <c r="C47" s="240"/>
      <c r="D47" s="241"/>
      <c r="E47" s="242"/>
      <c r="F47" s="269">
        <f>Headcount!H18</f>
        <v>0</v>
      </c>
      <c r="G47" s="664">
        <f>Headcount!I18</f>
        <v>0</v>
      </c>
      <c r="H47" s="664">
        <f>Headcount!J18</f>
        <v>0</v>
      </c>
      <c r="I47" s="664">
        <f>Headcount!K18</f>
        <v>0</v>
      </c>
      <c r="J47" s="664">
        <f>Headcount!L18</f>
        <v>1</v>
      </c>
      <c r="K47" s="664">
        <f>Headcount!M18</f>
        <v>1</v>
      </c>
      <c r="L47" s="664">
        <f>Headcount!N18</f>
        <v>1</v>
      </c>
      <c r="M47" s="664">
        <f>Headcount!O18</f>
        <v>1</v>
      </c>
      <c r="N47" s="664">
        <f>Headcount!P18</f>
        <v>2</v>
      </c>
      <c r="O47" s="664">
        <f>Headcount!Q18</f>
        <v>2</v>
      </c>
      <c r="P47" s="664">
        <f>Headcount!R18</f>
        <v>2</v>
      </c>
      <c r="Q47" s="664">
        <f>Headcount!S18</f>
        <v>2</v>
      </c>
      <c r="R47" s="664">
        <f>Headcount!T18</f>
        <v>3</v>
      </c>
      <c r="S47" s="664">
        <f>Headcount!U18</f>
        <v>3</v>
      </c>
      <c r="T47" s="664">
        <f>Headcount!V18</f>
        <v>3</v>
      </c>
      <c r="U47" s="664">
        <f>Headcount!W18</f>
        <v>3</v>
      </c>
      <c r="V47" s="664">
        <f>Headcount!X18</f>
        <v>3</v>
      </c>
      <c r="W47" s="664">
        <f>Headcount!Y18</f>
        <v>3</v>
      </c>
      <c r="X47" s="664">
        <f>Headcount!Z18</f>
        <v>3</v>
      </c>
      <c r="Y47" s="664">
        <f>Headcount!AA18</f>
        <v>3</v>
      </c>
      <c r="Z47" s="664">
        <f>Headcount!AB18</f>
        <v>3</v>
      </c>
      <c r="AA47" s="664">
        <f>Headcount!AC18</f>
        <v>3</v>
      </c>
      <c r="AB47" s="664">
        <f>Headcount!AD18</f>
        <v>3</v>
      </c>
      <c r="AC47" s="664">
        <f>Headcount!AE18</f>
        <v>3</v>
      </c>
      <c r="AD47" s="664">
        <f>Headcount!AF18</f>
        <v>3</v>
      </c>
      <c r="AE47" s="664">
        <f>Headcount!AG18</f>
        <v>3</v>
      </c>
      <c r="AF47" s="664">
        <f>Headcount!AH18</f>
        <v>3</v>
      </c>
      <c r="AG47" s="664">
        <f>Headcount!AI18</f>
        <v>3</v>
      </c>
      <c r="AH47" s="664">
        <f>Headcount!AJ18</f>
        <v>3</v>
      </c>
      <c r="AI47" s="664">
        <f>Headcount!AK18</f>
        <v>3</v>
      </c>
      <c r="AJ47" s="664">
        <f>Headcount!AL18</f>
        <v>3</v>
      </c>
      <c r="AK47" s="664">
        <f>Headcount!AM18</f>
        <v>3</v>
      </c>
      <c r="AL47" s="664">
        <f>Headcount!AN18</f>
        <v>3</v>
      </c>
      <c r="AM47" s="664">
        <f>Headcount!AO18</f>
        <v>3</v>
      </c>
      <c r="AN47" s="664">
        <f>Headcount!AP18</f>
        <v>3</v>
      </c>
      <c r="AO47" s="664">
        <f>Headcount!AQ18</f>
        <v>3</v>
      </c>
    </row>
    <row r="48" spans="1:41" s="46" customFormat="1" ht="13.35" customHeight="1">
      <c r="B48" s="46" t="s">
        <v>207</v>
      </c>
      <c r="C48" s="243"/>
      <c r="D48" s="241"/>
      <c r="E48" s="242"/>
      <c r="F48" s="269">
        <f>Headcount!H33</f>
        <v>2</v>
      </c>
      <c r="G48" s="664">
        <f>Headcount!I33</f>
        <v>2</v>
      </c>
      <c r="H48" s="664">
        <f>Headcount!J33</f>
        <v>2</v>
      </c>
      <c r="I48" s="664">
        <f>Headcount!K33</f>
        <v>2</v>
      </c>
      <c r="J48" s="664">
        <f>Headcount!L33</f>
        <v>2</v>
      </c>
      <c r="K48" s="664">
        <f>Headcount!M33</f>
        <v>2</v>
      </c>
      <c r="L48" s="664">
        <f>Headcount!N33</f>
        <v>2</v>
      </c>
      <c r="M48" s="664">
        <f>Headcount!O33</f>
        <v>2</v>
      </c>
      <c r="N48" s="664">
        <f>Headcount!P33</f>
        <v>3</v>
      </c>
      <c r="O48" s="664">
        <f>Headcount!Q33</f>
        <v>3</v>
      </c>
      <c r="P48" s="664">
        <f>Headcount!R33</f>
        <v>3</v>
      </c>
      <c r="Q48" s="664">
        <f>Headcount!S33</f>
        <v>3</v>
      </c>
      <c r="R48" s="664">
        <f>Headcount!T33</f>
        <v>6</v>
      </c>
      <c r="S48" s="664">
        <f>Headcount!U33</f>
        <v>6</v>
      </c>
      <c r="T48" s="664">
        <f>Headcount!V33</f>
        <v>6</v>
      </c>
      <c r="U48" s="664">
        <f>Headcount!W33</f>
        <v>6</v>
      </c>
      <c r="V48" s="664">
        <f>Headcount!X33</f>
        <v>6</v>
      </c>
      <c r="W48" s="664">
        <f>Headcount!Y33</f>
        <v>6</v>
      </c>
      <c r="X48" s="664">
        <f>Headcount!Z33</f>
        <v>6</v>
      </c>
      <c r="Y48" s="664">
        <f>Headcount!AA33</f>
        <v>6</v>
      </c>
      <c r="Z48" s="664">
        <f>Headcount!AB33</f>
        <v>6</v>
      </c>
      <c r="AA48" s="664">
        <f>Headcount!AC33</f>
        <v>6</v>
      </c>
      <c r="AB48" s="664">
        <f>Headcount!AD33</f>
        <v>6</v>
      </c>
      <c r="AC48" s="664">
        <f>Headcount!AE33</f>
        <v>6</v>
      </c>
      <c r="AD48" s="664">
        <f>Headcount!AF33</f>
        <v>12</v>
      </c>
      <c r="AE48" s="664">
        <f>Headcount!AG33</f>
        <v>13</v>
      </c>
      <c r="AF48" s="664">
        <f>Headcount!AH33</f>
        <v>13</v>
      </c>
      <c r="AG48" s="664">
        <f>Headcount!AI33</f>
        <v>13</v>
      </c>
      <c r="AH48" s="664">
        <f>Headcount!AJ33</f>
        <v>14</v>
      </c>
      <c r="AI48" s="664">
        <f>Headcount!AK33</f>
        <v>14</v>
      </c>
      <c r="AJ48" s="664">
        <f>Headcount!AL33</f>
        <v>14</v>
      </c>
      <c r="AK48" s="664">
        <f>Headcount!AM33</f>
        <v>14</v>
      </c>
      <c r="AL48" s="664">
        <f>Headcount!AN33</f>
        <v>15</v>
      </c>
      <c r="AM48" s="664">
        <f>Headcount!AO33</f>
        <v>15</v>
      </c>
      <c r="AN48" s="664">
        <f>Headcount!AP33</f>
        <v>15</v>
      </c>
      <c r="AO48" s="664">
        <f>Headcount!AQ33</f>
        <v>15</v>
      </c>
    </row>
    <row r="49" spans="1:41" s="46" customFormat="1" ht="13.35" customHeight="1">
      <c r="B49" s="46" t="s">
        <v>208</v>
      </c>
      <c r="C49" s="243"/>
      <c r="D49" s="244"/>
      <c r="E49" s="244"/>
      <c r="F49" s="269">
        <f>Headcount!H48</f>
        <v>3</v>
      </c>
      <c r="G49" s="664">
        <f>Headcount!I48</f>
        <v>3</v>
      </c>
      <c r="H49" s="664">
        <f>Headcount!J48</f>
        <v>3</v>
      </c>
      <c r="I49" s="664">
        <f>Headcount!K48</f>
        <v>3</v>
      </c>
      <c r="J49" s="664">
        <f>Headcount!L48</f>
        <v>3</v>
      </c>
      <c r="K49" s="664">
        <f>Headcount!M48</f>
        <v>3</v>
      </c>
      <c r="L49" s="664">
        <f>Headcount!N48</f>
        <v>3</v>
      </c>
      <c r="M49" s="664">
        <f>Headcount!O48</f>
        <v>3</v>
      </c>
      <c r="N49" s="664">
        <f>Headcount!P48</f>
        <v>5</v>
      </c>
      <c r="O49" s="664">
        <f>Headcount!Q48</f>
        <v>5</v>
      </c>
      <c r="P49" s="664">
        <f>Headcount!R48</f>
        <v>5</v>
      </c>
      <c r="Q49" s="664">
        <f>Headcount!S48</f>
        <v>5</v>
      </c>
      <c r="R49" s="664">
        <f>Headcount!T48</f>
        <v>8</v>
      </c>
      <c r="S49" s="664">
        <f>Headcount!U48</f>
        <v>8</v>
      </c>
      <c r="T49" s="664">
        <f>Headcount!V48</f>
        <v>8</v>
      </c>
      <c r="U49" s="664">
        <f>Headcount!W48</f>
        <v>8</v>
      </c>
      <c r="V49" s="664">
        <f>Headcount!X48</f>
        <v>8</v>
      </c>
      <c r="W49" s="664">
        <f>Headcount!Y48</f>
        <v>8</v>
      </c>
      <c r="X49" s="664">
        <f>Headcount!Z48</f>
        <v>8</v>
      </c>
      <c r="Y49" s="664">
        <f>Headcount!AA48</f>
        <v>8</v>
      </c>
      <c r="Z49" s="664">
        <f>Headcount!AB48</f>
        <v>8</v>
      </c>
      <c r="AA49" s="664">
        <f>Headcount!AC48</f>
        <v>8</v>
      </c>
      <c r="AB49" s="664">
        <f>Headcount!AD48</f>
        <v>8</v>
      </c>
      <c r="AC49" s="664">
        <f>Headcount!AE48</f>
        <v>8</v>
      </c>
      <c r="AD49" s="664">
        <f>Headcount!AF48</f>
        <v>15</v>
      </c>
      <c r="AE49" s="664">
        <f>Headcount!AG48</f>
        <v>15</v>
      </c>
      <c r="AF49" s="664">
        <f>Headcount!AH48</f>
        <v>15</v>
      </c>
      <c r="AG49" s="664">
        <f>Headcount!AI48</f>
        <v>15</v>
      </c>
      <c r="AH49" s="664">
        <f>Headcount!AJ48</f>
        <v>15</v>
      </c>
      <c r="AI49" s="664">
        <f>Headcount!AK48</f>
        <v>15</v>
      </c>
      <c r="AJ49" s="664">
        <f>Headcount!AL48</f>
        <v>15</v>
      </c>
      <c r="AK49" s="664">
        <f>Headcount!AM48</f>
        <v>15</v>
      </c>
      <c r="AL49" s="664">
        <f>Headcount!AN48</f>
        <v>15</v>
      </c>
      <c r="AM49" s="664">
        <f>Headcount!AO48</f>
        <v>15</v>
      </c>
      <c r="AN49" s="664">
        <f>Headcount!AP48</f>
        <v>15</v>
      </c>
      <c r="AO49" s="664">
        <f>Headcount!AQ48</f>
        <v>15</v>
      </c>
    </row>
    <row r="50" spans="1:41" s="46" customFormat="1" ht="13.35" customHeight="1">
      <c r="B50" s="46" t="s">
        <v>209</v>
      </c>
      <c r="C50" s="245">
        <v>150000</v>
      </c>
      <c r="D50" s="244"/>
      <c r="E50" s="244"/>
      <c r="F50" s="269">
        <f>Headcount!H64</f>
        <v>3</v>
      </c>
      <c r="G50" s="664">
        <f>Headcount!I64</f>
        <v>3</v>
      </c>
      <c r="H50" s="664">
        <f>Headcount!J64</f>
        <v>4</v>
      </c>
      <c r="I50" s="664">
        <f>Headcount!K64</f>
        <v>5</v>
      </c>
      <c r="J50" s="664">
        <f>Headcount!L64</f>
        <v>8</v>
      </c>
      <c r="K50" s="664">
        <f>Headcount!M64</f>
        <v>8</v>
      </c>
      <c r="L50" s="664">
        <f>Headcount!N64</f>
        <v>9</v>
      </c>
      <c r="M50" s="664">
        <f>Headcount!O64</f>
        <v>9</v>
      </c>
      <c r="N50" s="664">
        <f>Headcount!P64</f>
        <v>9</v>
      </c>
      <c r="O50" s="664">
        <f>Headcount!Q64</f>
        <v>9</v>
      </c>
      <c r="P50" s="664">
        <f>Headcount!R64</f>
        <v>9</v>
      </c>
      <c r="Q50" s="664">
        <f>Headcount!S64</f>
        <v>9</v>
      </c>
      <c r="R50" s="664">
        <f>Headcount!T64</f>
        <v>9</v>
      </c>
      <c r="S50" s="664">
        <f>Headcount!U64</f>
        <v>9</v>
      </c>
      <c r="T50" s="664">
        <f>Headcount!V64</f>
        <v>9</v>
      </c>
      <c r="U50" s="664">
        <f>Headcount!W64</f>
        <v>9</v>
      </c>
      <c r="V50" s="664">
        <f>Headcount!X64</f>
        <v>10</v>
      </c>
      <c r="W50" s="664">
        <f>Headcount!Y64</f>
        <v>10</v>
      </c>
      <c r="X50" s="664">
        <f>Headcount!Z64</f>
        <v>11</v>
      </c>
      <c r="Y50" s="664">
        <f>Headcount!AA64</f>
        <v>11</v>
      </c>
      <c r="Z50" s="664">
        <f>Headcount!AB64</f>
        <v>11</v>
      </c>
      <c r="AA50" s="664">
        <f>Headcount!AC64</f>
        <v>11</v>
      </c>
      <c r="AB50" s="664">
        <f>Headcount!AD64</f>
        <v>11</v>
      </c>
      <c r="AC50" s="664">
        <f>Headcount!AE64</f>
        <v>11</v>
      </c>
      <c r="AD50" s="664">
        <f>Headcount!AF64</f>
        <v>12</v>
      </c>
      <c r="AE50" s="664">
        <f>Headcount!AG64</f>
        <v>12</v>
      </c>
      <c r="AF50" s="664">
        <f>Headcount!AH64</f>
        <v>13</v>
      </c>
      <c r="AG50" s="664">
        <f>Headcount!AI64</f>
        <v>14</v>
      </c>
      <c r="AH50" s="664">
        <f>Headcount!AJ64</f>
        <v>14</v>
      </c>
      <c r="AI50" s="664">
        <f>Headcount!AK64</f>
        <v>15</v>
      </c>
      <c r="AJ50" s="664">
        <f>Headcount!AL64</f>
        <v>16</v>
      </c>
      <c r="AK50" s="664">
        <f>Headcount!AM64</f>
        <v>16</v>
      </c>
      <c r="AL50" s="664">
        <f>Headcount!AN64</f>
        <v>17</v>
      </c>
      <c r="AM50" s="664">
        <f>Headcount!AO64</f>
        <v>18</v>
      </c>
      <c r="AN50" s="664">
        <f>Headcount!AP64</f>
        <v>18</v>
      </c>
      <c r="AO50" s="664">
        <f>Headcount!AQ64</f>
        <v>19</v>
      </c>
    </row>
    <row r="51" spans="1:41" s="46" customFormat="1" ht="13.35" customHeight="1">
      <c r="B51" s="46" t="s">
        <v>210</v>
      </c>
      <c r="C51" s="245"/>
      <c r="D51" s="244"/>
      <c r="E51" s="244"/>
      <c r="F51" s="665">
        <f>Headcount!H83</f>
        <v>0</v>
      </c>
      <c r="G51" s="666">
        <f>Headcount!I83</f>
        <v>0</v>
      </c>
      <c r="H51" s="666">
        <f>Headcount!J83</f>
        <v>1</v>
      </c>
      <c r="I51" s="666">
        <f>Headcount!K83</f>
        <v>1</v>
      </c>
      <c r="J51" s="666">
        <f>Headcount!L83</f>
        <v>2</v>
      </c>
      <c r="K51" s="666">
        <f>Headcount!M83</f>
        <v>2</v>
      </c>
      <c r="L51" s="666">
        <f>Headcount!N83</f>
        <v>4</v>
      </c>
      <c r="M51" s="666">
        <f>Headcount!O83</f>
        <v>4</v>
      </c>
      <c r="N51" s="666">
        <f>Headcount!P83</f>
        <v>5</v>
      </c>
      <c r="O51" s="666">
        <f>Headcount!Q83</f>
        <v>5</v>
      </c>
      <c r="P51" s="666">
        <f>Headcount!R83</f>
        <v>5</v>
      </c>
      <c r="Q51" s="666">
        <f>Headcount!S83</f>
        <v>5</v>
      </c>
      <c r="R51" s="666">
        <f>Headcount!T83</f>
        <v>6</v>
      </c>
      <c r="S51" s="666">
        <f>Headcount!U83</f>
        <v>6</v>
      </c>
      <c r="T51" s="666">
        <f>Headcount!V83</f>
        <v>6</v>
      </c>
      <c r="U51" s="666">
        <f>Headcount!W83</f>
        <v>6</v>
      </c>
      <c r="V51" s="666">
        <f>Headcount!X83</f>
        <v>6</v>
      </c>
      <c r="W51" s="666">
        <f>Headcount!Y83</f>
        <v>6</v>
      </c>
      <c r="X51" s="666">
        <f>Headcount!Z83</f>
        <v>7</v>
      </c>
      <c r="Y51" s="666">
        <f>Headcount!AA83</f>
        <v>7</v>
      </c>
      <c r="Z51" s="666">
        <f>Headcount!AB83</f>
        <v>7</v>
      </c>
      <c r="AA51" s="666">
        <f>Headcount!AC83</f>
        <v>7</v>
      </c>
      <c r="AB51" s="666">
        <f>Headcount!AD83</f>
        <v>7</v>
      </c>
      <c r="AC51" s="666">
        <f>Headcount!AE83</f>
        <v>7</v>
      </c>
      <c r="AD51" s="666">
        <f>Headcount!AF83</f>
        <v>8</v>
      </c>
      <c r="AE51" s="666">
        <f>Headcount!AG83</f>
        <v>8</v>
      </c>
      <c r="AF51" s="666">
        <f>Headcount!AH83</f>
        <v>9</v>
      </c>
      <c r="AG51" s="666">
        <f>Headcount!AI83</f>
        <v>9</v>
      </c>
      <c r="AH51" s="666">
        <f>Headcount!AJ83</f>
        <v>10</v>
      </c>
      <c r="AI51" s="666">
        <f>Headcount!AK83</f>
        <v>10</v>
      </c>
      <c r="AJ51" s="666">
        <f>Headcount!AL83</f>
        <v>11</v>
      </c>
      <c r="AK51" s="666">
        <f>Headcount!AM83</f>
        <v>11</v>
      </c>
      <c r="AL51" s="666">
        <f>Headcount!AN83</f>
        <v>12</v>
      </c>
      <c r="AM51" s="666">
        <f>Headcount!AO83</f>
        <v>12</v>
      </c>
      <c r="AN51" s="666">
        <f>Headcount!AP83</f>
        <v>13</v>
      </c>
      <c r="AO51" s="666">
        <f>Headcount!AQ83</f>
        <v>14</v>
      </c>
    </row>
    <row r="52" spans="1:41" s="46" customFormat="1" ht="13.35" customHeight="1">
      <c r="A52" s="46" t="s">
        <v>47</v>
      </c>
      <c r="B52" s="246" t="s">
        <v>197</v>
      </c>
      <c r="C52" s="247"/>
      <c r="D52" s="248"/>
      <c r="E52" s="248"/>
      <c r="F52" s="270">
        <f>SUM(F47:F51)</f>
        <v>8</v>
      </c>
      <c r="G52" s="270">
        <f t="shared" ref="G52:AO52" si="8">SUM(G47:G51)</f>
        <v>8</v>
      </c>
      <c r="H52" s="270">
        <f t="shared" si="8"/>
        <v>10</v>
      </c>
      <c r="I52" s="270">
        <f t="shared" si="8"/>
        <v>11</v>
      </c>
      <c r="J52" s="270">
        <f t="shared" si="8"/>
        <v>16</v>
      </c>
      <c r="K52" s="270">
        <f t="shared" si="8"/>
        <v>16</v>
      </c>
      <c r="L52" s="270">
        <f t="shared" si="8"/>
        <v>19</v>
      </c>
      <c r="M52" s="270">
        <f t="shared" si="8"/>
        <v>19</v>
      </c>
      <c r="N52" s="270">
        <f t="shared" si="8"/>
        <v>24</v>
      </c>
      <c r="O52" s="270">
        <f t="shared" si="8"/>
        <v>24</v>
      </c>
      <c r="P52" s="270">
        <f t="shared" si="8"/>
        <v>24</v>
      </c>
      <c r="Q52" s="270">
        <f t="shared" si="8"/>
        <v>24</v>
      </c>
      <c r="R52" s="270">
        <f t="shared" si="8"/>
        <v>32</v>
      </c>
      <c r="S52" s="270">
        <f t="shared" si="8"/>
        <v>32</v>
      </c>
      <c r="T52" s="270">
        <f t="shared" si="8"/>
        <v>32</v>
      </c>
      <c r="U52" s="270">
        <f t="shared" si="8"/>
        <v>32</v>
      </c>
      <c r="V52" s="270">
        <f t="shared" si="8"/>
        <v>33</v>
      </c>
      <c r="W52" s="270">
        <f t="shared" si="8"/>
        <v>33</v>
      </c>
      <c r="X52" s="270">
        <f t="shared" si="8"/>
        <v>35</v>
      </c>
      <c r="Y52" s="270">
        <f t="shared" si="8"/>
        <v>35</v>
      </c>
      <c r="Z52" s="270">
        <f t="shared" si="8"/>
        <v>35</v>
      </c>
      <c r="AA52" s="270">
        <f t="shared" si="8"/>
        <v>35</v>
      </c>
      <c r="AB52" s="270">
        <f t="shared" si="8"/>
        <v>35</v>
      </c>
      <c r="AC52" s="270">
        <f t="shared" si="8"/>
        <v>35</v>
      </c>
      <c r="AD52" s="270">
        <f t="shared" si="8"/>
        <v>50</v>
      </c>
      <c r="AE52" s="270">
        <f t="shared" si="8"/>
        <v>51</v>
      </c>
      <c r="AF52" s="270">
        <f t="shared" si="8"/>
        <v>53</v>
      </c>
      <c r="AG52" s="270">
        <f t="shared" si="8"/>
        <v>54</v>
      </c>
      <c r="AH52" s="270">
        <f t="shared" si="8"/>
        <v>56</v>
      </c>
      <c r="AI52" s="270">
        <f t="shared" si="8"/>
        <v>57</v>
      </c>
      <c r="AJ52" s="270">
        <f t="shared" si="8"/>
        <v>59</v>
      </c>
      <c r="AK52" s="270">
        <f t="shared" si="8"/>
        <v>59</v>
      </c>
      <c r="AL52" s="270">
        <f t="shared" si="8"/>
        <v>62</v>
      </c>
      <c r="AM52" s="270">
        <f t="shared" si="8"/>
        <v>63</v>
      </c>
      <c r="AN52" s="270">
        <f t="shared" si="8"/>
        <v>64</v>
      </c>
      <c r="AO52" s="270">
        <f t="shared" si="8"/>
        <v>66</v>
      </c>
    </row>
    <row r="53" spans="1:41" customFormat="1" ht="15">
      <c r="B53" s="51" t="s">
        <v>232</v>
      </c>
      <c r="F53" s="269">
        <f>Headcount!H88</f>
        <v>0</v>
      </c>
      <c r="G53" s="664">
        <f>Headcount!I88</f>
        <v>0</v>
      </c>
      <c r="H53" s="664">
        <f>Headcount!J88</f>
        <v>2</v>
      </c>
      <c r="I53" s="664">
        <f>Headcount!K88</f>
        <v>2</v>
      </c>
      <c r="J53" s="664">
        <f>Headcount!L88</f>
        <v>4</v>
      </c>
      <c r="K53" s="664">
        <f>Headcount!M88</f>
        <v>4</v>
      </c>
      <c r="L53" s="664">
        <f>Headcount!N88</f>
        <v>4</v>
      </c>
      <c r="M53" s="664">
        <f>Headcount!O88</f>
        <v>4</v>
      </c>
      <c r="N53" s="664">
        <f>Headcount!P88</f>
        <v>10</v>
      </c>
      <c r="O53" s="664">
        <f>Headcount!Q88</f>
        <v>10</v>
      </c>
      <c r="P53" s="664">
        <f>Headcount!R88</f>
        <v>10</v>
      </c>
      <c r="Q53" s="664">
        <f>Headcount!S88</f>
        <v>10</v>
      </c>
      <c r="R53" s="664">
        <f>Headcount!T88</f>
        <v>10</v>
      </c>
      <c r="S53" s="664">
        <f>Headcount!U88</f>
        <v>10</v>
      </c>
      <c r="T53" s="664">
        <f>Headcount!V88</f>
        <v>10</v>
      </c>
      <c r="U53" s="664">
        <f>Headcount!W88</f>
        <v>10</v>
      </c>
      <c r="V53" s="664">
        <f>Headcount!X88</f>
        <v>10</v>
      </c>
      <c r="W53" s="664">
        <f>Headcount!Y88</f>
        <v>10</v>
      </c>
      <c r="X53" s="664">
        <f>Headcount!Z88</f>
        <v>10</v>
      </c>
      <c r="Y53" s="664">
        <f>Headcount!AA88</f>
        <v>10</v>
      </c>
      <c r="Z53" s="664">
        <f>Headcount!AB88</f>
        <v>10</v>
      </c>
      <c r="AA53" s="664">
        <f>Headcount!AC88</f>
        <v>10</v>
      </c>
      <c r="AB53" s="664">
        <f>Headcount!AD88</f>
        <v>10</v>
      </c>
      <c r="AC53" s="664">
        <f>Headcount!AE88</f>
        <v>10</v>
      </c>
      <c r="AD53" s="664">
        <f>Headcount!AF88</f>
        <v>10</v>
      </c>
      <c r="AE53" s="664">
        <f>Headcount!AG88</f>
        <v>10</v>
      </c>
      <c r="AF53" s="664">
        <f>Headcount!AH88</f>
        <v>10</v>
      </c>
      <c r="AG53" s="664">
        <f>Headcount!AI88</f>
        <v>10</v>
      </c>
      <c r="AH53" s="664">
        <f>Headcount!AJ88</f>
        <v>10</v>
      </c>
      <c r="AI53" s="664">
        <f>Headcount!AK88</f>
        <v>10</v>
      </c>
      <c r="AJ53" s="664">
        <f>Headcount!AL88</f>
        <v>10</v>
      </c>
      <c r="AK53" s="664">
        <f>Headcount!AM88</f>
        <v>10</v>
      </c>
      <c r="AL53" s="664">
        <f>Headcount!AN88</f>
        <v>10</v>
      </c>
      <c r="AM53" s="664">
        <f>Headcount!AO88</f>
        <v>10</v>
      </c>
      <c r="AN53" s="664">
        <f>Headcount!AP88</f>
        <v>10</v>
      </c>
      <c r="AO53" s="664">
        <f>Headcount!AQ88</f>
        <v>10</v>
      </c>
    </row>
    <row r="54" spans="1:41" s="251" customFormat="1" ht="13.35" customHeight="1">
      <c r="B54" s="249"/>
      <c r="C54" s="250"/>
      <c r="D54" s="249"/>
      <c r="E54" s="249"/>
      <c r="F54" s="271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1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1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</row>
    <row r="55" spans="1:41" s="46" customFormat="1" ht="13.35" customHeight="1">
      <c r="B55" s="235" t="s">
        <v>35</v>
      </c>
      <c r="C55" s="231" t="s">
        <v>60</v>
      </c>
      <c r="F55" s="264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4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4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</row>
    <row r="56" spans="1:41" s="46" customFormat="1" ht="13.35" customHeight="1">
      <c r="B56" s="46" t="s">
        <v>203</v>
      </c>
      <c r="C56" s="252">
        <f>Headcount!E14</f>
        <v>0.05</v>
      </c>
      <c r="F56" s="273">
        <f>-Headcount!H$29</f>
        <v>0</v>
      </c>
      <c r="G56" s="273">
        <f>-Headcount!I$29</f>
        <v>0</v>
      </c>
      <c r="H56" s="273">
        <f>-Headcount!J$29</f>
        <v>0</v>
      </c>
      <c r="I56" s="273">
        <f>-Headcount!K$29</f>
        <v>0</v>
      </c>
      <c r="J56" s="273">
        <f>-Headcount!L$29</f>
        <v>-10833.333333333334</v>
      </c>
      <c r="K56" s="273">
        <f>-Headcount!M$29</f>
        <v>-10833.333333333334</v>
      </c>
      <c r="L56" s="273">
        <f>-Headcount!N$29</f>
        <v>-10833.333333333334</v>
      </c>
      <c r="M56" s="273">
        <f>-Headcount!O$29</f>
        <v>-10833.333333333334</v>
      </c>
      <c r="N56" s="273">
        <f>-Headcount!P$29</f>
        <v>-21666.666666666668</v>
      </c>
      <c r="O56" s="273">
        <f>-Headcount!Q$29</f>
        <v>-21666.666666666668</v>
      </c>
      <c r="P56" s="273">
        <f>-Headcount!R$29</f>
        <v>-21666.666666666668</v>
      </c>
      <c r="Q56" s="273">
        <f>-Headcount!S$29</f>
        <v>-21666.666666666668</v>
      </c>
      <c r="R56" s="273">
        <f>-Headcount!T$29</f>
        <v>-34125</v>
      </c>
      <c r="S56" s="273">
        <f>-Headcount!U$29</f>
        <v>-34125</v>
      </c>
      <c r="T56" s="273">
        <f>-Headcount!V$29</f>
        <v>-34125</v>
      </c>
      <c r="U56" s="273">
        <f>-Headcount!W$29</f>
        <v>-34125</v>
      </c>
      <c r="V56" s="273">
        <f>-Headcount!X$29</f>
        <v>-34125</v>
      </c>
      <c r="W56" s="273">
        <f>-Headcount!Y$29</f>
        <v>-34125</v>
      </c>
      <c r="X56" s="273">
        <f>-Headcount!Z$29</f>
        <v>-34125</v>
      </c>
      <c r="Y56" s="273">
        <f>-Headcount!AA$29</f>
        <v>-34125</v>
      </c>
      <c r="Z56" s="273">
        <f>-Headcount!AB$29</f>
        <v>-34125</v>
      </c>
      <c r="AA56" s="273">
        <f>-Headcount!AC$29</f>
        <v>-34125</v>
      </c>
      <c r="AB56" s="273">
        <f>-Headcount!AD$29</f>
        <v>-34125</v>
      </c>
      <c r="AC56" s="273">
        <f>-Headcount!AE$29</f>
        <v>-34125</v>
      </c>
      <c r="AD56" s="273">
        <f>-Headcount!AF$29</f>
        <v>-35831.25</v>
      </c>
      <c r="AE56" s="273">
        <f>-Headcount!AG$29</f>
        <v>-35831.25</v>
      </c>
      <c r="AF56" s="273">
        <f>-Headcount!AH$29</f>
        <v>-35831.25</v>
      </c>
      <c r="AG56" s="273">
        <f>-Headcount!AI$29</f>
        <v>-35831.25</v>
      </c>
      <c r="AH56" s="273">
        <f>-Headcount!AJ$29</f>
        <v>-35831.25</v>
      </c>
      <c r="AI56" s="273">
        <f>-Headcount!AK$29</f>
        <v>-35831.25</v>
      </c>
      <c r="AJ56" s="273">
        <f>-Headcount!AL$29</f>
        <v>-35831.25</v>
      </c>
      <c r="AK56" s="273">
        <f>-Headcount!AM$29</f>
        <v>-35831.25</v>
      </c>
      <c r="AL56" s="273">
        <f>-Headcount!AN$29</f>
        <v>-35831.25</v>
      </c>
      <c r="AM56" s="273">
        <f>-Headcount!AO$29</f>
        <v>-35831.25</v>
      </c>
      <c r="AN56" s="273">
        <f>-Headcount!AP$29</f>
        <v>-35831.25</v>
      </c>
      <c r="AO56" s="273">
        <f>-Headcount!AQ$29</f>
        <v>-35831.25</v>
      </c>
    </row>
    <row r="57" spans="1:41" s="46" customFormat="1" ht="13.35" customHeight="1">
      <c r="B57" s="46" t="s">
        <v>212</v>
      </c>
      <c r="C57" s="243"/>
      <c r="F57" s="273">
        <f>-Headcount!H$43</f>
        <v>-13333.333333333334</v>
      </c>
      <c r="G57" s="273">
        <f>-Headcount!I$43</f>
        <v>-13333.333333333334</v>
      </c>
      <c r="H57" s="273">
        <f>-Headcount!J$43</f>
        <v>-13333.333333333334</v>
      </c>
      <c r="I57" s="273">
        <f>-Headcount!K$43</f>
        <v>-13333.333333333334</v>
      </c>
      <c r="J57" s="273">
        <f>-Headcount!L$43</f>
        <v>-13333.333333333334</v>
      </c>
      <c r="K57" s="273">
        <f>-Headcount!M$43</f>
        <v>-13333.333333333334</v>
      </c>
      <c r="L57" s="273">
        <f>-Headcount!N$43</f>
        <v>-13333.333333333334</v>
      </c>
      <c r="M57" s="273">
        <f>-Headcount!O$43</f>
        <v>-13333.333333333334</v>
      </c>
      <c r="N57" s="273">
        <f>-Headcount!P$43</f>
        <v>-20416.666666666668</v>
      </c>
      <c r="O57" s="273">
        <f>-Headcount!Q$43</f>
        <v>-20416.666666666668</v>
      </c>
      <c r="P57" s="273">
        <f>-Headcount!R$43</f>
        <v>-20416.666666666668</v>
      </c>
      <c r="Q57" s="273">
        <f>-Headcount!S$43</f>
        <v>-20416.666666666668</v>
      </c>
      <c r="R57" s="273">
        <f>-Headcount!T$43</f>
        <v>-35000</v>
      </c>
      <c r="S57" s="273">
        <f>-Headcount!U$43</f>
        <v>-35000</v>
      </c>
      <c r="T57" s="273">
        <f>-Headcount!V$43</f>
        <v>-35000</v>
      </c>
      <c r="U57" s="273">
        <f>-Headcount!W$43</f>
        <v>-35000</v>
      </c>
      <c r="V57" s="273">
        <f>-Headcount!X$43</f>
        <v>-35000</v>
      </c>
      <c r="W57" s="273">
        <f>-Headcount!Y$43</f>
        <v>-35000</v>
      </c>
      <c r="X57" s="273">
        <f>-Headcount!Z$43</f>
        <v>-35000</v>
      </c>
      <c r="Y57" s="273">
        <f>-Headcount!AA$43</f>
        <v>-35000</v>
      </c>
      <c r="Z57" s="273">
        <f>-Headcount!AB$43</f>
        <v>-35000</v>
      </c>
      <c r="AA57" s="273">
        <f>-Headcount!AC$43</f>
        <v>-35000</v>
      </c>
      <c r="AB57" s="273">
        <f>-Headcount!AD$43</f>
        <v>-35000</v>
      </c>
      <c r="AC57" s="273">
        <f>-Headcount!AE$43</f>
        <v>-35000</v>
      </c>
      <c r="AD57" s="273">
        <f>-Headcount!AF$43</f>
        <v>-64312.5</v>
      </c>
      <c r="AE57" s="273">
        <f>-Headcount!AG$43</f>
        <v>-69365.625</v>
      </c>
      <c r="AF57" s="273">
        <f>-Headcount!AH$43</f>
        <v>-69365.625</v>
      </c>
      <c r="AG57" s="273">
        <f>-Headcount!AI$43</f>
        <v>-69365.625</v>
      </c>
      <c r="AH57" s="273">
        <f>-Headcount!AJ$43</f>
        <v>-74418.75</v>
      </c>
      <c r="AI57" s="273">
        <f>-Headcount!AK$43</f>
        <v>-74418.75</v>
      </c>
      <c r="AJ57" s="273">
        <f>-Headcount!AL$43</f>
        <v>-74418.75</v>
      </c>
      <c r="AK57" s="273">
        <f>-Headcount!AM$43</f>
        <v>-74418.75</v>
      </c>
      <c r="AL57" s="273">
        <f>-Headcount!AN$43</f>
        <v>-79471.875</v>
      </c>
      <c r="AM57" s="273">
        <f>-Headcount!AO$43</f>
        <v>-79471.875</v>
      </c>
      <c r="AN57" s="273">
        <f>-Headcount!AP$43</f>
        <v>-79471.875</v>
      </c>
      <c r="AO57" s="273">
        <f>-Headcount!AQ$43</f>
        <v>-79471.875</v>
      </c>
    </row>
    <row r="58" spans="1:41" s="46" customFormat="1" ht="13.35" customHeight="1">
      <c r="B58" s="46" t="s">
        <v>208</v>
      </c>
      <c r="C58" s="243"/>
      <c r="F58" s="273">
        <f>-Headcount!H$60</f>
        <v>-20833.333333333332</v>
      </c>
      <c r="G58" s="273">
        <f>-Headcount!I$60</f>
        <v>-20833.333333333332</v>
      </c>
      <c r="H58" s="273">
        <f>-Headcount!J$60</f>
        <v>-20833.333333333332</v>
      </c>
      <c r="I58" s="273">
        <f>-Headcount!K$60</f>
        <v>-20833.333333333332</v>
      </c>
      <c r="J58" s="273">
        <f>-Headcount!L$60</f>
        <v>-20833.333333333332</v>
      </c>
      <c r="K58" s="273">
        <f>-Headcount!M$60</f>
        <v>-20833.333333333332</v>
      </c>
      <c r="L58" s="273">
        <f>-Headcount!N$60</f>
        <v>-20833.333333333332</v>
      </c>
      <c r="M58" s="273">
        <f>-Headcount!O$60</f>
        <v>-20833.333333333332</v>
      </c>
      <c r="N58" s="273">
        <f>-Headcount!P$60</f>
        <v>-29166.666666666668</v>
      </c>
      <c r="O58" s="273">
        <f>-Headcount!Q$60</f>
        <v>-29166.666666666668</v>
      </c>
      <c r="P58" s="273">
        <f>-Headcount!R$60</f>
        <v>-29166.666666666668</v>
      </c>
      <c r="Q58" s="273">
        <f>-Headcount!S$60</f>
        <v>-29166.666666666668</v>
      </c>
      <c r="R58" s="273">
        <f>-Headcount!T$60</f>
        <v>-48562.5</v>
      </c>
      <c r="S58" s="273">
        <f>-Headcount!U$60</f>
        <v>-48562.5</v>
      </c>
      <c r="T58" s="273">
        <f>-Headcount!V$60</f>
        <v>-48562.5</v>
      </c>
      <c r="U58" s="273">
        <f>-Headcount!W$60</f>
        <v>-48562.5</v>
      </c>
      <c r="V58" s="273">
        <f>-Headcount!X$60</f>
        <v>-48562.5</v>
      </c>
      <c r="W58" s="273">
        <f>-Headcount!Y$60</f>
        <v>-48562.5</v>
      </c>
      <c r="X58" s="273">
        <f>-Headcount!Z$60</f>
        <v>-48562.5</v>
      </c>
      <c r="Y58" s="273">
        <f>-Headcount!AA$60</f>
        <v>-48562.5</v>
      </c>
      <c r="Z58" s="273">
        <f>-Headcount!AB$60</f>
        <v>-48562.5</v>
      </c>
      <c r="AA58" s="273">
        <f>-Headcount!AC$60</f>
        <v>-48562.5</v>
      </c>
      <c r="AB58" s="273">
        <f>-Headcount!AD$60</f>
        <v>-48562.5</v>
      </c>
      <c r="AC58" s="273">
        <f>-Headcount!AE$60</f>
        <v>-48562.5</v>
      </c>
      <c r="AD58" s="273">
        <f>-Headcount!AF$60</f>
        <v>-86821.875</v>
      </c>
      <c r="AE58" s="273">
        <f>-Headcount!AG$60</f>
        <v>-86821.875</v>
      </c>
      <c r="AF58" s="273">
        <f>-Headcount!AH$60</f>
        <v>-86821.875</v>
      </c>
      <c r="AG58" s="273">
        <f>-Headcount!AI$60</f>
        <v>-86821.875</v>
      </c>
      <c r="AH58" s="273">
        <f>-Headcount!AJ$60</f>
        <v>-86821.875</v>
      </c>
      <c r="AI58" s="273">
        <f>-Headcount!AK$60</f>
        <v>-86821.875</v>
      </c>
      <c r="AJ58" s="273">
        <f>-Headcount!AL$60</f>
        <v>-86821.875</v>
      </c>
      <c r="AK58" s="273">
        <f>-Headcount!AM$60</f>
        <v>-86821.875</v>
      </c>
      <c r="AL58" s="273">
        <f>-Headcount!AN$60</f>
        <v>-86821.875</v>
      </c>
      <c r="AM58" s="273">
        <f>-Headcount!AO$60</f>
        <v>-86821.875</v>
      </c>
      <c r="AN58" s="273">
        <f>-Headcount!AP$60</f>
        <v>-86821.875</v>
      </c>
      <c r="AO58" s="273">
        <f>-Headcount!AQ$60</f>
        <v>-86821.875</v>
      </c>
    </row>
    <row r="59" spans="1:41" s="46" customFormat="1" ht="13.35" customHeight="1">
      <c r="B59" s="46" t="s">
        <v>209</v>
      </c>
      <c r="C59" s="245">
        <v>150000</v>
      </c>
      <c r="F59" s="273">
        <f>-Headcount!H$79</f>
        <v>-24166.666666666668</v>
      </c>
      <c r="G59" s="273">
        <f>-Headcount!I$79</f>
        <v>-24166.666666666668</v>
      </c>
      <c r="H59" s="273">
        <f>-Headcount!J$79</f>
        <v>-28750</v>
      </c>
      <c r="I59" s="273">
        <f>-Headcount!K$79</f>
        <v>-37083.333333333336</v>
      </c>
      <c r="J59" s="273">
        <f>-Headcount!L$79</f>
        <v>-53333.333333333336</v>
      </c>
      <c r="K59" s="273">
        <f>-Headcount!M$79</f>
        <v>-53333.333333333336</v>
      </c>
      <c r="L59" s="273">
        <f>-Headcount!N$79</f>
        <v>-58750</v>
      </c>
      <c r="M59" s="273">
        <f>-Headcount!O$79</f>
        <v>-58750</v>
      </c>
      <c r="N59" s="273">
        <f>-Headcount!P$79</f>
        <v>-58750</v>
      </c>
      <c r="O59" s="273">
        <f>-Headcount!Q$79</f>
        <v>-58750</v>
      </c>
      <c r="P59" s="273">
        <f>-Headcount!R$79</f>
        <v>-58750</v>
      </c>
      <c r="Q59" s="273">
        <f>-Headcount!S$79</f>
        <v>-58750</v>
      </c>
      <c r="R59" s="273">
        <f>-Headcount!T$79</f>
        <v>-61687.5</v>
      </c>
      <c r="S59" s="273">
        <f>-Headcount!U$79</f>
        <v>-61687.5</v>
      </c>
      <c r="T59" s="273">
        <f>-Headcount!V$79</f>
        <v>-61687.5</v>
      </c>
      <c r="U59" s="273">
        <f>-Headcount!W$79</f>
        <v>-61687.5</v>
      </c>
      <c r="V59" s="273">
        <f>-Headcount!X$79</f>
        <v>-65625</v>
      </c>
      <c r="W59" s="273">
        <f>-Headcount!Y$79</f>
        <v>-65625</v>
      </c>
      <c r="X59" s="273">
        <f>-Headcount!Z$79</f>
        <v>-70875</v>
      </c>
      <c r="Y59" s="273">
        <f>-Headcount!AA$79</f>
        <v>-70875</v>
      </c>
      <c r="Z59" s="273">
        <f>-Headcount!AB$79</f>
        <v>-70875</v>
      </c>
      <c r="AA59" s="273">
        <f>-Headcount!AC$79</f>
        <v>-70875</v>
      </c>
      <c r="AB59" s="273">
        <f>-Headcount!AD$79</f>
        <v>-70875</v>
      </c>
      <c r="AC59" s="273">
        <f>-Headcount!AE$79</f>
        <v>-70875</v>
      </c>
      <c r="AD59" s="273">
        <f>-Headcount!AF$79</f>
        <v>-78553.125</v>
      </c>
      <c r="AE59" s="273">
        <f>-Headcount!AG$79</f>
        <v>-78553.125</v>
      </c>
      <c r="AF59" s="273">
        <f>-Headcount!AH$79</f>
        <v>-84065.625</v>
      </c>
      <c r="AG59" s="273">
        <f>-Headcount!AI$79</f>
        <v>-88200</v>
      </c>
      <c r="AH59" s="273">
        <f>-Headcount!AJ$79</f>
        <v>-88200</v>
      </c>
      <c r="AI59" s="273">
        <f>-Headcount!AK$79</f>
        <v>-93712.5</v>
      </c>
      <c r="AJ59" s="273">
        <f>-Headcount!AL$79</f>
        <v>-97846.875</v>
      </c>
      <c r="AK59" s="273">
        <f>-Headcount!AM$79</f>
        <v>-97846.875</v>
      </c>
      <c r="AL59" s="273">
        <f>-Headcount!AN$79</f>
        <v>-101981.25</v>
      </c>
      <c r="AM59" s="273">
        <f>-Headcount!AO$79</f>
        <v>-107493.75</v>
      </c>
      <c r="AN59" s="273">
        <f>-Headcount!AP$79</f>
        <v>-107493.75</v>
      </c>
      <c r="AO59" s="273">
        <f>-Headcount!AQ$79</f>
        <v>-111628.125</v>
      </c>
    </row>
    <row r="60" spans="1:41" s="46" customFormat="1" ht="13.35" customHeight="1">
      <c r="B60" s="46" t="s">
        <v>210</v>
      </c>
      <c r="C60" s="245"/>
      <c r="F60" s="273">
        <f>-Headcount!H$89</f>
        <v>0</v>
      </c>
      <c r="G60" s="273">
        <f>-Headcount!I$89</f>
        <v>0</v>
      </c>
      <c r="H60" s="273">
        <f>-Headcount!J$89</f>
        <v>-12500</v>
      </c>
      <c r="I60" s="273">
        <f>-Headcount!K$89</f>
        <v>-12500</v>
      </c>
      <c r="J60" s="273">
        <f>-Headcount!L$89</f>
        <v>-21000</v>
      </c>
      <c r="K60" s="273">
        <f>-Headcount!M$89</f>
        <v>-21000</v>
      </c>
      <c r="L60" s="273">
        <f>-Headcount!N$89</f>
        <v>-29666.666666666668</v>
      </c>
      <c r="M60" s="273">
        <f>-Headcount!O$89</f>
        <v>-29666.666666666668</v>
      </c>
      <c r="N60" s="273">
        <f>-Headcount!P$89</f>
        <v>-46500</v>
      </c>
      <c r="O60" s="273">
        <f>-Headcount!Q$89</f>
        <v>-46500</v>
      </c>
      <c r="P60" s="273">
        <f>-Headcount!R$89</f>
        <v>-46500</v>
      </c>
      <c r="Q60" s="273">
        <f>-Headcount!S$89</f>
        <v>-46500</v>
      </c>
      <c r="R60" s="273">
        <f>-Headcount!T$89</f>
        <v>-53200</v>
      </c>
      <c r="S60" s="273">
        <f>-Headcount!U$89</f>
        <v>-53200</v>
      </c>
      <c r="T60" s="273">
        <f>-Headcount!V$89</f>
        <v>-53200</v>
      </c>
      <c r="U60" s="273">
        <f>-Headcount!W$89</f>
        <v>-53200</v>
      </c>
      <c r="V60" s="273">
        <f>-Headcount!X$89</f>
        <v>-53200</v>
      </c>
      <c r="W60" s="273">
        <f>-Headcount!Y$89</f>
        <v>-53200</v>
      </c>
      <c r="X60" s="273">
        <f>-Headcount!Z$89</f>
        <v>-57575</v>
      </c>
      <c r="Y60" s="273">
        <f>-Headcount!AA$89</f>
        <v>-57575</v>
      </c>
      <c r="Z60" s="273">
        <f>-Headcount!AB$89</f>
        <v>-57575</v>
      </c>
      <c r="AA60" s="273">
        <f>-Headcount!AC$89</f>
        <v>-57575</v>
      </c>
      <c r="AB60" s="273">
        <f>-Headcount!AD$89</f>
        <v>-57575</v>
      </c>
      <c r="AC60" s="273">
        <f>-Headcount!AE$89</f>
        <v>-57575</v>
      </c>
      <c r="AD60" s="273">
        <f>-Headcount!AF$89</f>
        <v>-65047.5</v>
      </c>
      <c r="AE60" s="273">
        <f>-Headcount!AG$89</f>
        <v>-65047.5</v>
      </c>
      <c r="AF60" s="273">
        <f>-Headcount!AH$89</f>
        <v>-69641.25</v>
      </c>
      <c r="AG60" s="273">
        <f>-Headcount!AI$89</f>
        <v>-69641.25</v>
      </c>
      <c r="AH60" s="273">
        <f>-Headcount!AJ$89</f>
        <v>-74235</v>
      </c>
      <c r="AI60" s="273">
        <f>-Headcount!AK$89</f>
        <v>-74235</v>
      </c>
      <c r="AJ60" s="273">
        <f>-Headcount!AL$89</f>
        <v>-78828.75</v>
      </c>
      <c r="AK60" s="273">
        <f>-Headcount!AM$89</f>
        <v>-78828.75</v>
      </c>
      <c r="AL60" s="273">
        <f>-Headcount!AN$89</f>
        <v>-83422.5</v>
      </c>
      <c r="AM60" s="273">
        <f>-Headcount!AO$89</f>
        <v>-83422.5</v>
      </c>
      <c r="AN60" s="273">
        <f>-Headcount!AP$89</f>
        <v>-88016.25</v>
      </c>
      <c r="AO60" s="273">
        <f>-Headcount!AQ$89</f>
        <v>-92610</v>
      </c>
    </row>
    <row r="61" spans="1:41" s="46" customFormat="1" ht="13.35" customHeight="1">
      <c r="B61" s="46" t="str">
        <f>"SaaS: Team Bonus Pool ("&amp;TEXT(C61,"0.00%")&amp;" of rev)"</f>
        <v>SaaS: Team Bonus Pool (5.00% of rev)</v>
      </c>
      <c r="C61" s="252">
        <f>'Model Drivers'!$C$52</f>
        <v>0.05</v>
      </c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>
        <f>IF(SUM(F80:P80)&gt;0,$C$61*SUM(F32:Q32),0)</f>
        <v>0</v>
      </c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>
        <f>IF(SUM(R80:AB80)&gt;0,$C$61*-SUM(R32:AC32),0)</f>
        <v>0</v>
      </c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>
        <f>IF(SUM(AD80:AN80)&gt;0,$C$61*-SUM(AD32:AO32),0)</f>
        <v>-329664.95850000001</v>
      </c>
    </row>
    <row r="62" spans="1:41" s="46" customFormat="1" ht="13.35" customHeight="1">
      <c r="B62" s="46" t="str">
        <f>"Lending: Team Bonus Pool ("&amp;TEXT(C62,"0.00%")&amp;" of rev)"</f>
        <v>Lending: Team Bonus Pool (5.00% of rev)</v>
      </c>
      <c r="C62" s="252">
        <f>'Model Drivers'!$C$53</f>
        <v>0.05</v>
      </c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>
        <f>IF(SUM(F80:P80)&gt;0,$C$62*SUM(F36:Q36),0)</f>
        <v>0</v>
      </c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>
        <f>IF(SUM(R80:AB80)&gt;0,$C$62*-SUM(R36:AC36),0)</f>
        <v>0</v>
      </c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>
        <f>IF(SUM(AD80:AN80)&gt;0,$C$62*-SUM(AD36:AO36),0)</f>
        <v>-62116.85500000001</v>
      </c>
    </row>
    <row r="63" spans="1:41" s="46" customFormat="1" ht="13.35" customHeight="1">
      <c r="A63" s="46" t="s">
        <v>47</v>
      </c>
      <c r="B63" s="246" t="s">
        <v>40</v>
      </c>
      <c r="C63" s="247"/>
      <c r="D63" s="246"/>
      <c r="E63" s="246"/>
      <c r="F63" s="274">
        <f t="shared" ref="F63:AO63" si="9">SUM(F56:F62)</f>
        <v>-58333.333333333328</v>
      </c>
      <c r="G63" s="274">
        <f t="shared" si="9"/>
        <v>-58333.333333333328</v>
      </c>
      <c r="H63" s="274">
        <f t="shared" si="9"/>
        <v>-75416.666666666657</v>
      </c>
      <c r="I63" s="274">
        <f t="shared" si="9"/>
        <v>-83750</v>
      </c>
      <c r="J63" s="274">
        <f t="shared" si="9"/>
        <v>-119333.33333333334</v>
      </c>
      <c r="K63" s="274">
        <f t="shared" si="9"/>
        <v>-119333.33333333334</v>
      </c>
      <c r="L63" s="274">
        <f t="shared" si="9"/>
        <v>-133416.66666666666</v>
      </c>
      <c r="M63" s="274">
        <f t="shared" si="9"/>
        <v>-133416.66666666666</v>
      </c>
      <c r="N63" s="274">
        <f t="shared" si="9"/>
        <v>-176500</v>
      </c>
      <c r="O63" s="274">
        <f t="shared" si="9"/>
        <v>-176500</v>
      </c>
      <c r="P63" s="274">
        <f t="shared" si="9"/>
        <v>-176500</v>
      </c>
      <c r="Q63" s="274">
        <f t="shared" si="9"/>
        <v>-176500</v>
      </c>
      <c r="R63" s="274">
        <f t="shared" si="9"/>
        <v>-232575</v>
      </c>
      <c r="S63" s="274">
        <f t="shared" si="9"/>
        <v>-232575</v>
      </c>
      <c r="T63" s="274">
        <f t="shared" si="9"/>
        <v>-232575</v>
      </c>
      <c r="U63" s="274">
        <f t="shared" si="9"/>
        <v>-232575</v>
      </c>
      <c r="V63" s="274">
        <f t="shared" si="9"/>
        <v>-236512.5</v>
      </c>
      <c r="W63" s="274">
        <f t="shared" si="9"/>
        <v>-236512.5</v>
      </c>
      <c r="X63" s="274">
        <f t="shared" si="9"/>
        <v>-246137.5</v>
      </c>
      <c r="Y63" s="274">
        <f t="shared" si="9"/>
        <v>-246137.5</v>
      </c>
      <c r="Z63" s="274">
        <f t="shared" si="9"/>
        <v>-246137.5</v>
      </c>
      <c r="AA63" s="274">
        <f t="shared" si="9"/>
        <v>-246137.5</v>
      </c>
      <c r="AB63" s="274">
        <f t="shared" si="9"/>
        <v>-246137.5</v>
      </c>
      <c r="AC63" s="274">
        <f t="shared" si="9"/>
        <v>-246137.5</v>
      </c>
      <c r="AD63" s="274">
        <f t="shared" si="9"/>
        <v>-330566.25</v>
      </c>
      <c r="AE63" s="274">
        <f t="shared" si="9"/>
        <v>-335619.375</v>
      </c>
      <c r="AF63" s="274">
        <f t="shared" si="9"/>
        <v>-345725.625</v>
      </c>
      <c r="AG63" s="274">
        <f t="shared" si="9"/>
        <v>-349860</v>
      </c>
      <c r="AH63" s="274">
        <f t="shared" si="9"/>
        <v>-359506.875</v>
      </c>
      <c r="AI63" s="274">
        <f t="shared" si="9"/>
        <v>-365019.375</v>
      </c>
      <c r="AJ63" s="274">
        <f t="shared" si="9"/>
        <v>-373747.5</v>
      </c>
      <c r="AK63" s="274">
        <f t="shared" si="9"/>
        <v>-373747.5</v>
      </c>
      <c r="AL63" s="274">
        <f t="shared" si="9"/>
        <v>-387528.75</v>
      </c>
      <c r="AM63" s="274">
        <f t="shared" si="9"/>
        <v>-393041.25</v>
      </c>
      <c r="AN63" s="274">
        <f t="shared" si="9"/>
        <v>-397635</v>
      </c>
      <c r="AO63" s="274">
        <f t="shared" si="9"/>
        <v>-798144.93849999993</v>
      </c>
    </row>
    <row r="64" spans="1:41" s="251" customFormat="1" ht="13.35" customHeight="1">
      <c r="B64" s="249"/>
      <c r="C64" s="250"/>
      <c r="D64" s="249"/>
      <c r="E64" s="249"/>
      <c r="F64" s="273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1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1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</row>
    <row r="65" spans="1:41" s="46" customFormat="1" ht="13.35" customHeight="1">
      <c r="B65" s="235" t="s">
        <v>38</v>
      </c>
      <c r="C65" s="253" t="s">
        <v>60</v>
      </c>
      <c r="D65" s="254"/>
      <c r="E65" s="254"/>
      <c r="F65" s="275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5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5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</row>
    <row r="66" spans="1:41" s="46" customFormat="1" ht="13.35" customHeight="1">
      <c r="B66" s="46" t="s">
        <v>10</v>
      </c>
      <c r="C66" s="252">
        <f>'Model Drivers'!$C$37</f>
        <v>0.17</v>
      </c>
      <c r="D66" s="255"/>
      <c r="E66" s="255"/>
      <c r="F66" s="277">
        <f t="shared" ref="F66:AO66" si="10">SUM(F56:F60)*$C66</f>
        <v>-9916.6666666666661</v>
      </c>
      <c r="G66" s="278">
        <f t="shared" si="10"/>
        <v>-9916.6666666666661</v>
      </c>
      <c r="H66" s="278">
        <f t="shared" si="10"/>
        <v>-12820.833333333332</v>
      </c>
      <c r="I66" s="278">
        <f t="shared" si="10"/>
        <v>-14237.500000000002</v>
      </c>
      <c r="J66" s="278">
        <f t="shared" si="10"/>
        <v>-20286.666666666672</v>
      </c>
      <c r="K66" s="278">
        <f t="shared" si="10"/>
        <v>-20286.666666666672</v>
      </c>
      <c r="L66" s="278">
        <f t="shared" si="10"/>
        <v>-22680.833333333332</v>
      </c>
      <c r="M66" s="278">
        <f t="shared" si="10"/>
        <v>-22680.833333333332</v>
      </c>
      <c r="N66" s="278">
        <f t="shared" si="10"/>
        <v>-30005.000000000004</v>
      </c>
      <c r="O66" s="278">
        <f t="shared" si="10"/>
        <v>-30005.000000000004</v>
      </c>
      <c r="P66" s="278">
        <f t="shared" si="10"/>
        <v>-30005.000000000004</v>
      </c>
      <c r="Q66" s="278">
        <f t="shared" si="10"/>
        <v>-30005.000000000004</v>
      </c>
      <c r="R66" s="277">
        <f t="shared" si="10"/>
        <v>-39537.75</v>
      </c>
      <c r="S66" s="278">
        <f t="shared" si="10"/>
        <v>-39537.75</v>
      </c>
      <c r="T66" s="278">
        <f t="shared" si="10"/>
        <v>-39537.75</v>
      </c>
      <c r="U66" s="278">
        <f t="shared" si="10"/>
        <v>-39537.75</v>
      </c>
      <c r="V66" s="278">
        <f t="shared" si="10"/>
        <v>-40207.125</v>
      </c>
      <c r="W66" s="278">
        <f t="shared" si="10"/>
        <v>-40207.125</v>
      </c>
      <c r="X66" s="278">
        <f t="shared" si="10"/>
        <v>-41843.375</v>
      </c>
      <c r="Y66" s="278">
        <f t="shared" si="10"/>
        <v>-41843.375</v>
      </c>
      <c r="Z66" s="278">
        <f t="shared" si="10"/>
        <v>-41843.375</v>
      </c>
      <c r="AA66" s="278">
        <f t="shared" si="10"/>
        <v>-41843.375</v>
      </c>
      <c r="AB66" s="278">
        <f t="shared" si="10"/>
        <v>-41843.375</v>
      </c>
      <c r="AC66" s="278">
        <f t="shared" si="10"/>
        <v>-41843.375</v>
      </c>
      <c r="AD66" s="277">
        <f t="shared" si="10"/>
        <v>-56196.262500000004</v>
      </c>
      <c r="AE66" s="278">
        <f t="shared" si="10"/>
        <v>-57055.293750000004</v>
      </c>
      <c r="AF66" s="278">
        <f t="shared" si="10"/>
        <v>-58773.356250000004</v>
      </c>
      <c r="AG66" s="278">
        <f t="shared" si="10"/>
        <v>-59476.200000000004</v>
      </c>
      <c r="AH66" s="278">
        <f t="shared" si="10"/>
        <v>-61116.168750000004</v>
      </c>
      <c r="AI66" s="278">
        <f t="shared" si="10"/>
        <v>-62053.293750000004</v>
      </c>
      <c r="AJ66" s="278">
        <f t="shared" si="10"/>
        <v>-63537.075000000004</v>
      </c>
      <c r="AK66" s="278">
        <f t="shared" si="10"/>
        <v>-63537.075000000004</v>
      </c>
      <c r="AL66" s="278">
        <f t="shared" si="10"/>
        <v>-65879.887500000012</v>
      </c>
      <c r="AM66" s="278">
        <f t="shared" si="10"/>
        <v>-66817.012500000012</v>
      </c>
      <c r="AN66" s="278">
        <f t="shared" si="10"/>
        <v>-67597.950000000012</v>
      </c>
      <c r="AO66" s="278">
        <f t="shared" si="10"/>
        <v>-69081.731250000012</v>
      </c>
    </row>
    <row r="67" spans="1:41" s="46" customFormat="1" ht="15">
      <c r="B67" s="46" t="s">
        <v>62</v>
      </c>
      <c r="C67" s="252">
        <f>'Model Drivers'!G43</f>
        <v>0.03</v>
      </c>
      <c r="D67" s="279"/>
      <c r="E67" s="279"/>
      <c r="F67" s="641">
        <f>'Model Drivers'!C43</f>
        <v>-2500</v>
      </c>
      <c r="G67" s="278">
        <f t="shared" ref="G67:AO67" si="11">F67</f>
        <v>-2500</v>
      </c>
      <c r="H67" s="278">
        <f t="shared" si="11"/>
        <v>-2500</v>
      </c>
      <c r="I67" s="278">
        <f t="shared" si="11"/>
        <v>-2500</v>
      </c>
      <c r="J67" s="278">
        <f t="shared" si="11"/>
        <v>-2500</v>
      </c>
      <c r="K67" s="278">
        <f t="shared" si="11"/>
        <v>-2500</v>
      </c>
      <c r="L67" s="278">
        <f t="shared" si="11"/>
        <v>-2500</v>
      </c>
      <c r="M67" s="278">
        <f t="shared" si="11"/>
        <v>-2500</v>
      </c>
      <c r="N67" s="278">
        <f t="shared" si="11"/>
        <v>-2500</v>
      </c>
      <c r="O67" s="278">
        <f t="shared" si="11"/>
        <v>-2500</v>
      </c>
      <c r="P67" s="278">
        <f t="shared" si="11"/>
        <v>-2500</v>
      </c>
      <c r="Q67" s="278">
        <f t="shared" si="11"/>
        <v>-2500</v>
      </c>
      <c r="R67" s="642">
        <f>'Model Drivers'!D43</f>
        <v>-2575</v>
      </c>
      <c r="S67" s="278">
        <f t="shared" si="11"/>
        <v>-2575</v>
      </c>
      <c r="T67" s="278">
        <f t="shared" si="11"/>
        <v>-2575</v>
      </c>
      <c r="U67" s="278">
        <f t="shared" si="11"/>
        <v>-2575</v>
      </c>
      <c r="V67" s="278">
        <f t="shared" si="11"/>
        <v>-2575</v>
      </c>
      <c r="W67" s="278">
        <f t="shared" si="11"/>
        <v>-2575</v>
      </c>
      <c r="X67" s="278">
        <f t="shared" si="11"/>
        <v>-2575</v>
      </c>
      <c r="Y67" s="278">
        <f t="shared" si="11"/>
        <v>-2575</v>
      </c>
      <c r="Z67" s="278">
        <f t="shared" si="11"/>
        <v>-2575</v>
      </c>
      <c r="AA67" s="278">
        <f t="shared" si="11"/>
        <v>-2575</v>
      </c>
      <c r="AB67" s="278">
        <f t="shared" si="11"/>
        <v>-2575</v>
      </c>
      <c r="AC67" s="278">
        <f t="shared" si="11"/>
        <v>-2575</v>
      </c>
      <c r="AD67" s="642">
        <f>'Model Drivers'!E43</f>
        <v>-2652.25</v>
      </c>
      <c r="AE67" s="278">
        <f t="shared" si="11"/>
        <v>-2652.25</v>
      </c>
      <c r="AF67" s="278">
        <f t="shared" si="11"/>
        <v>-2652.25</v>
      </c>
      <c r="AG67" s="278">
        <f t="shared" si="11"/>
        <v>-2652.25</v>
      </c>
      <c r="AH67" s="278">
        <f t="shared" si="11"/>
        <v>-2652.25</v>
      </c>
      <c r="AI67" s="278">
        <f t="shared" si="11"/>
        <v>-2652.25</v>
      </c>
      <c r="AJ67" s="278">
        <f t="shared" si="11"/>
        <v>-2652.25</v>
      </c>
      <c r="AK67" s="278">
        <f t="shared" si="11"/>
        <v>-2652.25</v>
      </c>
      <c r="AL67" s="278">
        <f t="shared" si="11"/>
        <v>-2652.25</v>
      </c>
      <c r="AM67" s="278">
        <f t="shared" si="11"/>
        <v>-2652.25</v>
      </c>
      <c r="AN67" s="278">
        <f t="shared" si="11"/>
        <v>-2652.25</v>
      </c>
      <c r="AO67" s="278">
        <f t="shared" si="11"/>
        <v>-2652.25</v>
      </c>
    </row>
    <row r="68" spans="1:41" s="46" customFormat="1" ht="15">
      <c r="B68" s="46" t="s">
        <v>71</v>
      </c>
      <c r="C68" s="252">
        <f>'Model Drivers'!G44</f>
        <v>0.03</v>
      </c>
      <c r="D68" s="279"/>
      <c r="E68" s="279"/>
      <c r="F68" s="641">
        <f>'Model Drivers'!C44</f>
        <v>-2000</v>
      </c>
      <c r="G68" s="278">
        <f t="shared" ref="G68:AO68" si="12">F68</f>
        <v>-2000</v>
      </c>
      <c r="H68" s="278">
        <f t="shared" si="12"/>
        <v>-2000</v>
      </c>
      <c r="I68" s="278">
        <f t="shared" si="12"/>
        <v>-2000</v>
      </c>
      <c r="J68" s="278">
        <f t="shared" si="12"/>
        <v>-2000</v>
      </c>
      <c r="K68" s="278">
        <f t="shared" si="12"/>
        <v>-2000</v>
      </c>
      <c r="L68" s="278">
        <f t="shared" si="12"/>
        <v>-2000</v>
      </c>
      <c r="M68" s="278">
        <f t="shared" si="12"/>
        <v>-2000</v>
      </c>
      <c r="N68" s="278">
        <f t="shared" si="12"/>
        <v>-2000</v>
      </c>
      <c r="O68" s="278">
        <f t="shared" si="12"/>
        <v>-2000</v>
      </c>
      <c r="P68" s="278">
        <f t="shared" si="12"/>
        <v>-2000</v>
      </c>
      <c r="Q68" s="278">
        <f t="shared" si="12"/>
        <v>-2000</v>
      </c>
      <c r="R68" s="642">
        <f>'Model Drivers'!D44</f>
        <v>-2060</v>
      </c>
      <c r="S68" s="278">
        <f t="shared" si="12"/>
        <v>-2060</v>
      </c>
      <c r="T68" s="278">
        <f t="shared" si="12"/>
        <v>-2060</v>
      </c>
      <c r="U68" s="278">
        <f t="shared" si="12"/>
        <v>-2060</v>
      </c>
      <c r="V68" s="278">
        <f t="shared" si="12"/>
        <v>-2060</v>
      </c>
      <c r="W68" s="278">
        <f t="shared" si="12"/>
        <v>-2060</v>
      </c>
      <c r="X68" s="278">
        <f t="shared" si="12"/>
        <v>-2060</v>
      </c>
      <c r="Y68" s="278">
        <f t="shared" si="12"/>
        <v>-2060</v>
      </c>
      <c r="Z68" s="278">
        <f t="shared" si="12"/>
        <v>-2060</v>
      </c>
      <c r="AA68" s="278">
        <f t="shared" si="12"/>
        <v>-2060</v>
      </c>
      <c r="AB68" s="278">
        <f t="shared" si="12"/>
        <v>-2060</v>
      </c>
      <c r="AC68" s="278">
        <f t="shared" si="12"/>
        <v>-2060</v>
      </c>
      <c r="AD68" s="642">
        <f>'Model Drivers'!E44</f>
        <v>-2121.8000000000002</v>
      </c>
      <c r="AE68" s="278">
        <f t="shared" si="12"/>
        <v>-2121.8000000000002</v>
      </c>
      <c r="AF68" s="278">
        <f t="shared" si="12"/>
        <v>-2121.8000000000002</v>
      </c>
      <c r="AG68" s="278">
        <f t="shared" si="12"/>
        <v>-2121.8000000000002</v>
      </c>
      <c r="AH68" s="278">
        <f t="shared" si="12"/>
        <v>-2121.8000000000002</v>
      </c>
      <c r="AI68" s="278">
        <f t="shared" si="12"/>
        <v>-2121.8000000000002</v>
      </c>
      <c r="AJ68" s="278">
        <f t="shared" si="12"/>
        <v>-2121.8000000000002</v>
      </c>
      <c r="AK68" s="278">
        <f t="shared" si="12"/>
        <v>-2121.8000000000002</v>
      </c>
      <c r="AL68" s="278">
        <f t="shared" si="12"/>
        <v>-2121.8000000000002</v>
      </c>
      <c r="AM68" s="278">
        <f t="shared" si="12"/>
        <v>-2121.8000000000002</v>
      </c>
      <c r="AN68" s="278">
        <f t="shared" si="12"/>
        <v>-2121.8000000000002</v>
      </c>
      <c r="AO68" s="278">
        <f t="shared" si="12"/>
        <v>-2121.8000000000002</v>
      </c>
    </row>
    <row r="69" spans="1:41" s="46" customFormat="1" ht="15">
      <c r="B69" s="189" t="s">
        <v>72</v>
      </c>
      <c r="C69" s="252">
        <f>'Model Drivers'!G45</f>
        <v>0.03</v>
      </c>
      <c r="D69" s="279"/>
      <c r="E69" s="279"/>
      <c r="F69" s="641">
        <f>'Model Drivers'!C45</f>
        <v>-6000</v>
      </c>
      <c r="G69" s="278">
        <f t="shared" ref="G69:Q70" si="13">F69</f>
        <v>-6000</v>
      </c>
      <c r="H69" s="278">
        <f t="shared" si="13"/>
        <v>-6000</v>
      </c>
      <c r="I69" s="278">
        <f t="shared" si="13"/>
        <v>-6000</v>
      </c>
      <c r="J69" s="278">
        <f t="shared" si="13"/>
        <v>-6000</v>
      </c>
      <c r="K69" s="278">
        <f t="shared" si="13"/>
        <v>-6000</v>
      </c>
      <c r="L69" s="278">
        <f t="shared" si="13"/>
        <v>-6000</v>
      </c>
      <c r="M69" s="278">
        <f t="shared" si="13"/>
        <v>-6000</v>
      </c>
      <c r="N69" s="278">
        <f t="shared" si="13"/>
        <v>-6000</v>
      </c>
      <c r="O69" s="278">
        <f t="shared" si="13"/>
        <v>-6000</v>
      </c>
      <c r="P69" s="278">
        <f t="shared" si="13"/>
        <v>-6000</v>
      </c>
      <c r="Q69" s="278">
        <f t="shared" si="13"/>
        <v>-6000</v>
      </c>
      <c r="R69" s="642">
        <f>'Model Drivers'!D45</f>
        <v>-6180</v>
      </c>
      <c r="S69" s="278">
        <f t="shared" ref="S69:AO69" si="14">R69</f>
        <v>-6180</v>
      </c>
      <c r="T69" s="278">
        <f>S69</f>
        <v>-6180</v>
      </c>
      <c r="U69" s="278">
        <f t="shared" si="14"/>
        <v>-6180</v>
      </c>
      <c r="V69" s="278">
        <f t="shared" si="14"/>
        <v>-6180</v>
      </c>
      <c r="W69" s="278">
        <f t="shared" si="14"/>
        <v>-6180</v>
      </c>
      <c r="X69" s="278">
        <f t="shared" si="14"/>
        <v>-6180</v>
      </c>
      <c r="Y69" s="278">
        <f t="shared" si="14"/>
        <v>-6180</v>
      </c>
      <c r="Z69" s="278">
        <f t="shared" si="14"/>
        <v>-6180</v>
      </c>
      <c r="AA69" s="278">
        <f t="shared" si="14"/>
        <v>-6180</v>
      </c>
      <c r="AB69" s="278">
        <f t="shared" si="14"/>
        <v>-6180</v>
      </c>
      <c r="AC69" s="278">
        <f t="shared" si="14"/>
        <v>-6180</v>
      </c>
      <c r="AD69" s="642">
        <f>'Model Drivers'!E45</f>
        <v>-6365.4000000000005</v>
      </c>
      <c r="AE69" s="278">
        <f t="shared" si="14"/>
        <v>-6365.4000000000005</v>
      </c>
      <c r="AF69" s="278">
        <f t="shared" si="14"/>
        <v>-6365.4000000000005</v>
      </c>
      <c r="AG69" s="278">
        <f t="shared" si="14"/>
        <v>-6365.4000000000005</v>
      </c>
      <c r="AH69" s="278">
        <f t="shared" si="14"/>
        <v>-6365.4000000000005</v>
      </c>
      <c r="AI69" s="278">
        <f t="shared" si="14"/>
        <v>-6365.4000000000005</v>
      </c>
      <c r="AJ69" s="278">
        <f t="shared" si="14"/>
        <v>-6365.4000000000005</v>
      </c>
      <c r="AK69" s="278">
        <f t="shared" si="14"/>
        <v>-6365.4000000000005</v>
      </c>
      <c r="AL69" s="278">
        <f t="shared" si="14"/>
        <v>-6365.4000000000005</v>
      </c>
      <c r="AM69" s="278">
        <f t="shared" si="14"/>
        <v>-6365.4000000000005</v>
      </c>
      <c r="AN69" s="278">
        <f t="shared" si="14"/>
        <v>-6365.4000000000005</v>
      </c>
      <c r="AO69" s="278">
        <f t="shared" si="14"/>
        <v>-6365.4000000000005</v>
      </c>
    </row>
    <row r="70" spans="1:41" s="46" customFormat="1" ht="13.35" customHeight="1">
      <c r="B70" s="189" t="s">
        <v>215</v>
      </c>
      <c r="C70" s="252">
        <f>'Model Drivers'!G46</f>
        <v>0.03</v>
      </c>
      <c r="D70" s="276"/>
      <c r="E70" s="276"/>
      <c r="F70" s="641">
        <f>'Model Drivers'!C46</f>
        <v>-4000</v>
      </c>
      <c r="G70" s="278">
        <f>F70</f>
        <v>-4000</v>
      </c>
      <c r="H70" s="278">
        <f t="shared" si="13"/>
        <v>-4000</v>
      </c>
      <c r="I70" s="278">
        <f t="shared" si="13"/>
        <v>-4000</v>
      </c>
      <c r="J70" s="278">
        <f t="shared" si="13"/>
        <v>-4000</v>
      </c>
      <c r="K70" s="278">
        <f t="shared" si="13"/>
        <v>-4000</v>
      </c>
      <c r="L70" s="278">
        <f t="shared" si="13"/>
        <v>-4000</v>
      </c>
      <c r="M70" s="278">
        <f t="shared" si="13"/>
        <v>-4000</v>
      </c>
      <c r="N70" s="278">
        <f t="shared" si="13"/>
        <v>-4000</v>
      </c>
      <c r="O70" s="278">
        <f t="shared" si="13"/>
        <v>-4000</v>
      </c>
      <c r="P70" s="278">
        <f t="shared" si="13"/>
        <v>-4000</v>
      </c>
      <c r="Q70" s="278">
        <f t="shared" si="13"/>
        <v>-4000</v>
      </c>
      <c r="R70" s="642">
        <f>'Model Drivers'!D46</f>
        <v>-4120</v>
      </c>
      <c r="S70" s="277">
        <f t="shared" ref="S70:AO70" si="15">R70</f>
        <v>-4120</v>
      </c>
      <c r="T70" s="277">
        <f t="shared" si="15"/>
        <v>-4120</v>
      </c>
      <c r="U70" s="277">
        <f t="shared" si="15"/>
        <v>-4120</v>
      </c>
      <c r="V70" s="277">
        <f t="shared" si="15"/>
        <v>-4120</v>
      </c>
      <c r="W70" s="277">
        <f t="shared" si="15"/>
        <v>-4120</v>
      </c>
      <c r="X70" s="277">
        <f t="shared" si="15"/>
        <v>-4120</v>
      </c>
      <c r="Y70" s="277">
        <f t="shared" si="15"/>
        <v>-4120</v>
      </c>
      <c r="Z70" s="277">
        <f t="shared" si="15"/>
        <v>-4120</v>
      </c>
      <c r="AA70" s="277">
        <f t="shared" si="15"/>
        <v>-4120</v>
      </c>
      <c r="AB70" s="277">
        <f t="shared" si="15"/>
        <v>-4120</v>
      </c>
      <c r="AC70" s="277">
        <f t="shared" si="15"/>
        <v>-4120</v>
      </c>
      <c r="AD70" s="642">
        <f>'Model Drivers'!E46</f>
        <v>-4243.6000000000004</v>
      </c>
      <c r="AE70" s="277">
        <f t="shared" si="15"/>
        <v>-4243.6000000000004</v>
      </c>
      <c r="AF70" s="277">
        <f t="shared" si="15"/>
        <v>-4243.6000000000004</v>
      </c>
      <c r="AG70" s="277">
        <f t="shared" si="15"/>
        <v>-4243.6000000000004</v>
      </c>
      <c r="AH70" s="277">
        <f t="shared" si="15"/>
        <v>-4243.6000000000004</v>
      </c>
      <c r="AI70" s="277">
        <f t="shared" si="15"/>
        <v>-4243.6000000000004</v>
      </c>
      <c r="AJ70" s="277">
        <f t="shared" si="15"/>
        <v>-4243.6000000000004</v>
      </c>
      <c r="AK70" s="277">
        <f t="shared" si="15"/>
        <v>-4243.6000000000004</v>
      </c>
      <c r="AL70" s="277">
        <f t="shared" si="15"/>
        <v>-4243.6000000000004</v>
      </c>
      <c r="AM70" s="277">
        <f t="shared" si="15"/>
        <v>-4243.6000000000004</v>
      </c>
      <c r="AN70" s="277">
        <f t="shared" si="15"/>
        <v>-4243.6000000000004</v>
      </c>
      <c r="AO70" s="277">
        <f t="shared" si="15"/>
        <v>-4243.6000000000004</v>
      </c>
    </row>
    <row r="71" spans="1:41" s="46" customFormat="1" ht="15">
      <c r="B71" s="189" t="s">
        <v>335</v>
      </c>
      <c r="C71" s="449">
        <f>'Model Drivers'!C38</f>
        <v>14.966380916397164</v>
      </c>
      <c r="D71" s="449">
        <f>'Model Drivers'!D38</f>
        <v>15.714699962217022</v>
      </c>
      <c r="E71" s="449">
        <f>'Model Drivers'!E38</f>
        <v>16.500434960327873</v>
      </c>
      <c r="F71"/>
      <c r="G71" s="280">
        <f t="shared" ref="G71:Q71" si="16">-H7*$C$71</f>
        <v>-1496.6380916397163</v>
      </c>
      <c r="H71" s="277">
        <f t="shared" si="16"/>
        <v>-1496.6380916397163</v>
      </c>
      <c r="I71" s="277">
        <f t="shared" si="16"/>
        <v>-1496.6380916397163</v>
      </c>
      <c r="J71" s="277">
        <f t="shared" si="16"/>
        <v>-1496.6380916397163</v>
      </c>
      <c r="K71" s="277">
        <f t="shared" si="16"/>
        <v>-1496.6380916397163</v>
      </c>
      <c r="L71" s="277">
        <f t="shared" si="16"/>
        <v>-1496.6380916397163</v>
      </c>
      <c r="M71" s="277">
        <f t="shared" si="16"/>
        <v>-1496.6380916397163</v>
      </c>
      <c r="N71" s="277">
        <f t="shared" si="16"/>
        <v>-1496.6380916397163</v>
      </c>
      <c r="O71" s="277">
        <f t="shared" si="16"/>
        <v>-1496.6380916397163</v>
      </c>
      <c r="P71" s="277">
        <f t="shared" si="16"/>
        <v>-1496.6380916397163</v>
      </c>
      <c r="Q71" s="277">
        <f t="shared" si="16"/>
        <v>-3741.5952290992909</v>
      </c>
      <c r="R71" s="277">
        <f t="shared" ref="R71:AC71" si="17">-S7*$D$71</f>
        <v>-3928.6749905542556</v>
      </c>
      <c r="S71" s="277">
        <f t="shared" si="17"/>
        <v>-3928.6749905542556</v>
      </c>
      <c r="T71" s="277">
        <f t="shared" si="17"/>
        <v>-3928.6749905542556</v>
      </c>
      <c r="U71" s="277">
        <f t="shared" si="17"/>
        <v>-3928.6749905542556</v>
      </c>
      <c r="V71" s="277">
        <f t="shared" si="17"/>
        <v>-3928.6749905542556</v>
      </c>
      <c r="W71" s="277">
        <f t="shared" si="17"/>
        <v>-3928.6749905542556</v>
      </c>
      <c r="X71" s="277">
        <f t="shared" si="17"/>
        <v>-3928.6749905542556</v>
      </c>
      <c r="Y71" s="277">
        <f t="shared" si="17"/>
        <v>-3928.6749905542556</v>
      </c>
      <c r="Z71" s="277">
        <f t="shared" si="17"/>
        <v>-3928.6749905542556</v>
      </c>
      <c r="AA71" s="277">
        <f t="shared" si="17"/>
        <v>-3928.6749905542556</v>
      </c>
      <c r="AB71" s="277">
        <f t="shared" si="17"/>
        <v>-3928.6749905542556</v>
      </c>
      <c r="AC71" s="277">
        <f t="shared" si="17"/>
        <v>-7857.3499811085112</v>
      </c>
      <c r="AD71" s="277">
        <f t="shared" ref="AD71:AO71" si="18">-AE7*$E$71</f>
        <v>-8250.2174801639358</v>
      </c>
      <c r="AE71" s="277">
        <f t="shared" si="18"/>
        <v>-8250.2174801639358</v>
      </c>
      <c r="AF71" s="277">
        <f t="shared" si="18"/>
        <v>-8250.2174801639358</v>
      </c>
      <c r="AG71" s="277">
        <f t="shared" si="18"/>
        <v>-8250.2174801639358</v>
      </c>
      <c r="AH71" s="277">
        <f t="shared" si="18"/>
        <v>-8250.2174801639358</v>
      </c>
      <c r="AI71" s="277">
        <f t="shared" si="18"/>
        <v>-8250.2174801639358</v>
      </c>
      <c r="AJ71" s="277">
        <f t="shared" si="18"/>
        <v>-8250.2174801639358</v>
      </c>
      <c r="AK71" s="277">
        <f t="shared" si="18"/>
        <v>-8250.2174801639358</v>
      </c>
      <c r="AL71" s="277">
        <f t="shared" si="18"/>
        <v>-8250.2174801639358</v>
      </c>
      <c r="AM71" s="277">
        <f t="shared" si="18"/>
        <v>-8250.2174801639358</v>
      </c>
      <c r="AN71" s="277">
        <f t="shared" si="18"/>
        <v>-8250.2174801639358</v>
      </c>
      <c r="AO71" s="277">
        <f t="shared" si="18"/>
        <v>-8250.2174801639358</v>
      </c>
    </row>
    <row r="72" spans="1:41" s="46" customFormat="1" ht="15">
      <c r="B72" s="189" t="s">
        <v>233</v>
      </c>
      <c r="C72" s="449">
        <f>'Model Drivers'!C39</f>
        <v>50</v>
      </c>
      <c r="D72" s="449">
        <f>'Model Drivers'!D39</f>
        <v>52.5</v>
      </c>
      <c r="E72" s="449">
        <f>'Model Drivers'!E39</f>
        <v>55.125</v>
      </c>
      <c r="F72"/>
      <c r="G72" s="280">
        <f t="shared" ref="G72:Q72" si="19">-H14*$C$72</f>
        <v>-3464.736892655374</v>
      </c>
      <c r="H72" s="277">
        <f t="shared" si="19"/>
        <v>0</v>
      </c>
      <c r="I72" s="277">
        <f t="shared" si="19"/>
        <v>0</v>
      </c>
      <c r="J72" s="277">
        <f t="shared" si="19"/>
        <v>-389.8305084745765</v>
      </c>
      <c r="K72" s="277">
        <f t="shared" si="19"/>
        <v>-3248.5875706214747</v>
      </c>
      <c r="L72" s="277">
        <f t="shared" si="19"/>
        <v>-1754.2372881355973</v>
      </c>
      <c r="M72" s="277">
        <f t="shared" si="19"/>
        <v>-5197.7401129943601</v>
      </c>
      <c r="N72" s="277">
        <f t="shared" si="19"/>
        <v>-2338.9830508474602</v>
      </c>
      <c r="O72" s="277">
        <f t="shared" si="19"/>
        <v>-1364.4067796610216</v>
      </c>
      <c r="P72" s="277">
        <f t="shared" si="19"/>
        <v>-389.83050847457719</v>
      </c>
      <c r="Q72" s="277">
        <f t="shared" si="19"/>
        <v>-3378.5310734463337</v>
      </c>
      <c r="R72" s="277">
        <f t="shared" ref="R72:AC72" si="20">-S14*$D$72</f>
        <v>-3547.4576271186506</v>
      </c>
      <c r="S72" s="277">
        <f t="shared" si="20"/>
        <v>-3547.4576271186506</v>
      </c>
      <c r="T72" s="277">
        <f t="shared" si="20"/>
        <v>-3547.4576271186506</v>
      </c>
      <c r="U72" s="277">
        <f t="shared" si="20"/>
        <v>-3547.4576271186506</v>
      </c>
      <c r="V72" s="277">
        <f t="shared" si="20"/>
        <v>-3547.4576271186506</v>
      </c>
      <c r="W72" s="277">
        <f t="shared" si="20"/>
        <v>-3547.4576271186506</v>
      </c>
      <c r="X72" s="277">
        <f t="shared" si="20"/>
        <v>-3547.4576271186506</v>
      </c>
      <c r="Y72" s="277">
        <f t="shared" si="20"/>
        <v>-3547.4576271186506</v>
      </c>
      <c r="Z72" s="277">
        <f t="shared" si="20"/>
        <v>-3547.4576271186565</v>
      </c>
      <c r="AA72" s="277">
        <f t="shared" si="20"/>
        <v>-3547.4576271186506</v>
      </c>
      <c r="AB72" s="277">
        <f t="shared" si="20"/>
        <v>-3547.4576271186506</v>
      </c>
      <c r="AC72" s="277">
        <f t="shared" si="20"/>
        <v>-14326.271186440703</v>
      </c>
      <c r="AD72" s="277">
        <f t="shared" ref="AD72:AO72" si="21">-AE14*$E$72</f>
        <v>-15042.584745762737</v>
      </c>
      <c r="AE72" s="277">
        <f t="shared" si="21"/>
        <v>-15042.584745762737</v>
      </c>
      <c r="AF72" s="277">
        <f t="shared" si="21"/>
        <v>-15042.58474576275</v>
      </c>
      <c r="AG72" s="277">
        <f t="shared" si="21"/>
        <v>-15042.584745762737</v>
      </c>
      <c r="AH72" s="277">
        <f t="shared" si="21"/>
        <v>-15042.584745762737</v>
      </c>
      <c r="AI72" s="277">
        <f t="shared" si="21"/>
        <v>-14919.459040677992</v>
      </c>
      <c r="AJ72" s="277">
        <f t="shared" si="21"/>
        <v>-15042.584745762737</v>
      </c>
      <c r="AK72" s="277">
        <f t="shared" si="21"/>
        <v>-14855.833205084784</v>
      </c>
      <c r="AL72" s="277">
        <f t="shared" si="21"/>
        <v>-15042.584745762737</v>
      </c>
      <c r="AM72" s="277">
        <f t="shared" si="21"/>
        <v>-15042.584745762737</v>
      </c>
      <c r="AN72" s="277">
        <f t="shared" si="21"/>
        <v>-15042.584745762713</v>
      </c>
      <c r="AO72" s="277">
        <f t="shared" si="21"/>
        <v>-15042.584745762713</v>
      </c>
    </row>
    <row r="73" spans="1:41" s="46" customFormat="1" ht="15">
      <c r="B73" s="189" t="s">
        <v>216</v>
      </c>
      <c r="C73" s="252">
        <f>'Model Drivers'!G47</f>
        <v>0.03</v>
      </c>
      <c r="D73"/>
      <c r="E73"/>
      <c r="F73" s="641">
        <f>'Model Drivers'!C47</f>
        <v>-1500</v>
      </c>
      <c r="G73" s="278">
        <f t="shared" ref="G73:Q74" si="22">F73</f>
        <v>-1500</v>
      </c>
      <c r="H73" s="278">
        <f t="shared" si="22"/>
        <v>-1500</v>
      </c>
      <c r="I73" s="278">
        <f t="shared" si="22"/>
        <v>-1500</v>
      </c>
      <c r="J73" s="278">
        <f t="shared" si="22"/>
        <v>-1500</v>
      </c>
      <c r="K73" s="278">
        <f t="shared" si="22"/>
        <v>-1500</v>
      </c>
      <c r="L73" s="278">
        <f t="shared" si="22"/>
        <v>-1500</v>
      </c>
      <c r="M73" s="278">
        <f t="shared" si="22"/>
        <v>-1500</v>
      </c>
      <c r="N73" s="278">
        <f t="shared" si="22"/>
        <v>-1500</v>
      </c>
      <c r="O73" s="278">
        <f t="shared" si="22"/>
        <v>-1500</v>
      </c>
      <c r="P73" s="278">
        <f t="shared" si="22"/>
        <v>-1500</v>
      </c>
      <c r="Q73" s="278">
        <f t="shared" si="22"/>
        <v>-1500</v>
      </c>
      <c r="R73" s="642">
        <f>'Model Drivers'!D47</f>
        <v>-1545</v>
      </c>
      <c r="S73" s="278">
        <f t="shared" ref="S73:AC74" si="23">R73</f>
        <v>-1545</v>
      </c>
      <c r="T73" s="278">
        <f t="shared" si="23"/>
        <v>-1545</v>
      </c>
      <c r="U73" s="278">
        <f t="shared" si="23"/>
        <v>-1545</v>
      </c>
      <c r="V73" s="278">
        <f t="shared" si="23"/>
        <v>-1545</v>
      </c>
      <c r="W73" s="278">
        <f t="shared" si="23"/>
        <v>-1545</v>
      </c>
      <c r="X73" s="278">
        <f t="shared" si="23"/>
        <v>-1545</v>
      </c>
      <c r="Y73" s="278">
        <f t="shared" si="23"/>
        <v>-1545</v>
      </c>
      <c r="Z73" s="278">
        <f t="shared" si="23"/>
        <v>-1545</v>
      </c>
      <c r="AA73" s="278">
        <f t="shared" si="23"/>
        <v>-1545</v>
      </c>
      <c r="AB73" s="278">
        <f t="shared" si="23"/>
        <v>-1545</v>
      </c>
      <c r="AC73" s="278">
        <f t="shared" si="23"/>
        <v>-1545</v>
      </c>
      <c r="AD73" s="642">
        <f>'Model Drivers'!E47</f>
        <v>-1591.3500000000001</v>
      </c>
      <c r="AE73" s="278">
        <f t="shared" ref="AE73:AO74" si="24">AD73</f>
        <v>-1591.3500000000001</v>
      </c>
      <c r="AF73" s="278">
        <f t="shared" si="24"/>
        <v>-1591.3500000000001</v>
      </c>
      <c r="AG73" s="278">
        <f t="shared" si="24"/>
        <v>-1591.3500000000001</v>
      </c>
      <c r="AH73" s="278">
        <f t="shared" si="24"/>
        <v>-1591.3500000000001</v>
      </c>
      <c r="AI73" s="278">
        <f t="shared" si="24"/>
        <v>-1591.3500000000001</v>
      </c>
      <c r="AJ73" s="278">
        <f t="shared" si="24"/>
        <v>-1591.3500000000001</v>
      </c>
      <c r="AK73" s="278">
        <f t="shared" si="24"/>
        <v>-1591.3500000000001</v>
      </c>
      <c r="AL73" s="278">
        <f t="shared" si="24"/>
        <v>-1591.3500000000001</v>
      </c>
      <c r="AM73" s="278">
        <f t="shared" si="24"/>
        <v>-1591.3500000000001</v>
      </c>
      <c r="AN73" s="278">
        <f t="shared" si="24"/>
        <v>-1591.3500000000001</v>
      </c>
      <c r="AO73" s="278">
        <f t="shared" si="24"/>
        <v>-1591.3500000000001</v>
      </c>
    </row>
    <row r="74" spans="1:41" s="46" customFormat="1" ht="15">
      <c r="B74" s="189" t="s">
        <v>249</v>
      </c>
      <c r="C74" s="252">
        <f>'Model Drivers'!G48</f>
        <v>0.03</v>
      </c>
      <c r="D74"/>
      <c r="E74"/>
      <c r="F74" s="641">
        <f>'Model Drivers'!C48</f>
        <v>-1000</v>
      </c>
      <c r="G74" s="278">
        <f t="shared" si="22"/>
        <v>-1000</v>
      </c>
      <c r="H74" s="278">
        <f t="shared" si="22"/>
        <v>-1000</v>
      </c>
      <c r="I74" s="278">
        <f t="shared" si="22"/>
        <v>-1000</v>
      </c>
      <c r="J74" s="278">
        <f t="shared" si="22"/>
        <v>-1000</v>
      </c>
      <c r="K74" s="278">
        <f t="shared" si="22"/>
        <v>-1000</v>
      </c>
      <c r="L74" s="278">
        <f t="shared" si="22"/>
        <v>-1000</v>
      </c>
      <c r="M74" s="278">
        <f t="shared" si="22"/>
        <v>-1000</v>
      </c>
      <c r="N74" s="278">
        <f t="shared" si="22"/>
        <v>-1000</v>
      </c>
      <c r="O74" s="278">
        <f t="shared" si="22"/>
        <v>-1000</v>
      </c>
      <c r="P74" s="278">
        <f t="shared" si="22"/>
        <v>-1000</v>
      </c>
      <c r="Q74" s="278">
        <f t="shared" si="22"/>
        <v>-1000</v>
      </c>
      <c r="R74" s="642">
        <f>'Model Drivers'!D48</f>
        <v>-1030</v>
      </c>
      <c r="S74" s="278">
        <f t="shared" si="23"/>
        <v>-1030</v>
      </c>
      <c r="T74" s="278">
        <f t="shared" si="23"/>
        <v>-1030</v>
      </c>
      <c r="U74" s="278">
        <f t="shared" si="23"/>
        <v>-1030</v>
      </c>
      <c r="V74" s="278">
        <f t="shared" si="23"/>
        <v>-1030</v>
      </c>
      <c r="W74" s="278">
        <f t="shared" si="23"/>
        <v>-1030</v>
      </c>
      <c r="X74" s="278">
        <f t="shared" si="23"/>
        <v>-1030</v>
      </c>
      <c r="Y74" s="278">
        <f t="shared" si="23"/>
        <v>-1030</v>
      </c>
      <c r="Z74" s="278">
        <f t="shared" si="23"/>
        <v>-1030</v>
      </c>
      <c r="AA74" s="278">
        <f t="shared" si="23"/>
        <v>-1030</v>
      </c>
      <c r="AB74" s="278">
        <f t="shared" si="23"/>
        <v>-1030</v>
      </c>
      <c r="AC74" s="278">
        <f t="shared" si="23"/>
        <v>-1030</v>
      </c>
      <c r="AD74" s="642">
        <f>'Model Drivers'!E48</f>
        <v>-1060.9000000000001</v>
      </c>
      <c r="AE74" s="278">
        <f t="shared" si="24"/>
        <v>-1060.9000000000001</v>
      </c>
      <c r="AF74" s="278">
        <f t="shared" si="24"/>
        <v>-1060.9000000000001</v>
      </c>
      <c r="AG74" s="278">
        <f t="shared" si="24"/>
        <v>-1060.9000000000001</v>
      </c>
      <c r="AH74" s="278">
        <f t="shared" si="24"/>
        <v>-1060.9000000000001</v>
      </c>
      <c r="AI74" s="278">
        <f t="shared" si="24"/>
        <v>-1060.9000000000001</v>
      </c>
      <c r="AJ74" s="278">
        <f t="shared" si="24"/>
        <v>-1060.9000000000001</v>
      </c>
      <c r="AK74" s="278">
        <f t="shared" si="24"/>
        <v>-1060.9000000000001</v>
      </c>
      <c r="AL74" s="278">
        <f t="shared" si="24"/>
        <v>-1060.9000000000001</v>
      </c>
      <c r="AM74" s="278">
        <f t="shared" si="24"/>
        <v>-1060.9000000000001</v>
      </c>
      <c r="AN74" s="278">
        <f t="shared" si="24"/>
        <v>-1060.9000000000001</v>
      </c>
      <c r="AO74" s="278">
        <f t="shared" si="24"/>
        <v>-1060.9000000000001</v>
      </c>
    </row>
    <row r="75" spans="1:41" s="46" customFormat="1" ht="13.35" customHeight="1">
      <c r="B75" s="46" t="s">
        <v>0</v>
      </c>
      <c r="C75" s="252">
        <f>'Model Drivers'!G49</f>
        <v>0.03</v>
      </c>
      <c r="D75" s="276"/>
      <c r="E75" s="276"/>
      <c r="F75" s="641">
        <f>'Model Drivers'!C49</f>
        <v>-5000</v>
      </c>
      <c r="G75" s="278">
        <f t="shared" ref="G75:N75" si="25">F75</f>
        <v>-5000</v>
      </c>
      <c r="H75" s="278">
        <f t="shared" si="25"/>
        <v>-5000</v>
      </c>
      <c r="I75" s="278">
        <f t="shared" si="25"/>
        <v>-5000</v>
      </c>
      <c r="J75" s="278">
        <f t="shared" si="25"/>
        <v>-5000</v>
      </c>
      <c r="K75" s="278">
        <f t="shared" si="25"/>
        <v>-5000</v>
      </c>
      <c r="L75" s="278">
        <f t="shared" si="25"/>
        <v>-5000</v>
      </c>
      <c r="M75" s="278">
        <f t="shared" si="25"/>
        <v>-5000</v>
      </c>
      <c r="N75" s="278">
        <f t="shared" si="25"/>
        <v>-5000</v>
      </c>
      <c r="O75" s="278">
        <f>N75</f>
        <v>-5000</v>
      </c>
      <c r="P75" s="278">
        <f>O75</f>
        <v>-5000</v>
      </c>
      <c r="Q75" s="278">
        <f>P75</f>
        <v>-5000</v>
      </c>
      <c r="R75" s="642">
        <f>'Model Drivers'!D49</f>
        <v>-5150</v>
      </c>
      <c r="S75" s="278">
        <f t="shared" ref="S75:AC75" si="26">R75</f>
        <v>-5150</v>
      </c>
      <c r="T75" s="278">
        <f t="shared" si="26"/>
        <v>-5150</v>
      </c>
      <c r="U75" s="278">
        <f t="shared" si="26"/>
        <v>-5150</v>
      </c>
      <c r="V75" s="278">
        <f t="shared" si="26"/>
        <v>-5150</v>
      </c>
      <c r="W75" s="278">
        <f t="shared" si="26"/>
        <v>-5150</v>
      </c>
      <c r="X75" s="278">
        <f t="shared" si="26"/>
        <v>-5150</v>
      </c>
      <c r="Y75" s="278">
        <f t="shared" si="26"/>
        <v>-5150</v>
      </c>
      <c r="Z75" s="278">
        <f t="shared" si="26"/>
        <v>-5150</v>
      </c>
      <c r="AA75" s="278">
        <f t="shared" si="26"/>
        <v>-5150</v>
      </c>
      <c r="AB75" s="278">
        <f t="shared" si="26"/>
        <v>-5150</v>
      </c>
      <c r="AC75" s="278">
        <f t="shared" si="26"/>
        <v>-5150</v>
      </c>
      <c r="AD75" s="642">
        <f>'Model Drivers'!E49</f>
        <v>-5304.5</v>
      </c>
      <c r="AE75" s="278">
        <f t="shared" ref="AE75:AO75" si="27">AD75</f>
        <v>-5304.5</v>
      </c>
      <c r="AF75" s="278">
        <f t="shared" si="27"/>
        <v>-5304.5</v>
      </c>
      <c r="AG75" s="278">
        <f t="shared" si="27"/>
        <v>-5304.5</v>
      </c>
      <c r="AH75" s="278">
        <f t="shared" si="27"/>
        <v>-5304.5</v>
      </c>
      <c r="AI75" s="278">
        <f t="shared" si="27"/>
        <v>-5304.5</v>
      </c>
      <c r="AJ75" s="278">
        <f t="shared" si="27"/>
        <v>-5304.5</v>
      </c>
      <c r="AK75" s="278">
        <f t="shared" si="27"/>
        <v>-5304.5</v>
      </c>
      <c r="AL75" s="278">
        <f t="shared" si="27"/>
        <v>-5304.5</v>
      </c>
      <c r="AM75" s="278">
        <f t="shared" si="27"/>
        <v>-5304.5</v>
      </c>
      <c r="AN75" s="278">
        <f t="shared" si="27"/>
        <v>-5304.5</v>
      </c>
      <c r="AO75" s="278">
        <f t="shared" si="27"/>
        <v>-5304.5</v>
      </c>
    </row>
    <row r="76" spans="1:41" s="46" customFormat="1" ht="13.35" customHeight="1">
      <c r="B76" s="46" t="s">
        <v>213</v>
      </c>
      <c r="C76" s="252">
        <f>'Model Drivers'!G50</f>
        <v>0.03</v>
      </c>
      <c r="D76" s="276"/>
      <c r="E76" s="276"/>
      <c r="F76" s="641">
        <f>'Model Drivers'!C50</f>
        <v>-3000</v>
      </c>
      <c r="G76" s="278">
        <f>F76</f>
        <v>-3000</v>
      </c>
      <c r="H76" s="278">
        <f t="shared" ref="H76:Q76" si="28">G76</f>
        <v>-3000</v>
      </c>
      <c r="I76" s="278">
        <f t="shared" si="28"/>
        <v>-3000</v>
      </c>
      <c r="J76" s="278">
        <f t="shared" si="28"/>
        <v>-3000</v>
      </c>
      <c r="K76" s="278">
        <f t="shared" si="28"/>
        <v>-3000</v>
      </c>
      <c r="L76" s="278">
        <f t="shared" si="28"/>
        <v>-3000</v>
      </c>
      <c r="M76" s="278">
        <f t="shared" si="28"/>
        <v>-3000</v>
      </c>
      <c r="N76" s="278">
        <f t="shared" si="28"/>
        <v>-3000</v>
      </c>
      <c r="O76" s="278">
        <f t="shared" si="28"/>
        <v>-3000</v>
      </c>
      <c r="P76" s="278">
        <f t="shared" si="28"/>
        <v>-3000</v>
      </c>
      <c r="Q76" s="278">
        <f t="shared" si="28"/>
        <v>-3000</v>
      </c>
      <c r="R76" s="642">
        <f>'Model Drivers'!D50</f>
        <v>-3090</v>
      </c>
      <c r="S76" s="278">
        <f>R76</f>
        <v>-3090</v>
      </c>
      <c r="T76" s="278">
        <f t="shared" ref="T76:AO76" si="29">S76</f>
        <v>-3090</v>
      </c>
      <c r="U76" s="278">
        <f t="shared" si="29"/>
        <v>-3090</v>
      </c>
      <c r="V76" s="278">
        <f t="shared" si="29"/>
        <v>-3090</v>
      </c>
      <c r="W76" s="278">
        <f t="shared" si="29"/>
        <v>-3090</v>
      </c>
      <c r="X76" s="278">
        <f t="shared" si="29"/>
        <v>-3090</v>
      </c>
      <c r="Y76" s="278">
        <f t="shared" si="29"/>
        <v>-3090</v>
      </c>
      <c r="Z76" s="278">
        <f t="shared" si="29"/>
        <v>-3090</v>
      </c>
      <c r="AA76" s="278">
        <f t="shared" si="29"/>
        <v>-3090</v>
      </c>
      <c r="AB76" s="278">
        <f t="shared" si="29"/>
        <v>-3090</v>
      </c>
      <c r="AC76" s="278">
        <f t="shared" si="29"/>
        <v>-3090</v>
      </c>
      <c r="AD76" s="642">
        <f>'Model Drivers'!E50</f>
        <v>-3182.7000000000003</v>
      </c>
      <c r="AE76" s="278">
        <f t="shared" si="29"/>
        <v>-3182.7000000000003</v>
      </c>
      <c r="AF76" s="278">
        <f t="shared" si="29"/>
        <v>-3182.7000000000003</v>
      </c>
      <c r="AG76" s="278">
        <f t="shared" si="29"/>
        <v>-3182.7000000000003</v>
      </c>
      <c r="AH76" s="278">
        <f t="shared" si="29"/>
        <v>-3182.7000000000003</v>
      </c>
      <c r="AI76" s="278">
        <f t="shared" si="29"/>
        <v>-3182.7000000000003</v>
      </c>
      <c r="AJ76" s="278">
        <f t="shared" si="29"/>
        <v>-3182.7000000000003</v>
      </c>
      <c r="AK76" s="278">
        <f t="shared" si="29"/>
        <v>-3182.7000000000003</v>
      </c>
      <c r="AL76" s="278">
        <f t="shared" si="29"/>
        <v>-3182.7000000000003</v>
      </c>
      <c r="AM76" s="278">
        <f t="shared" si="29"/>
        <v>-3182.7000000000003</v>
      </c>
      <c r="AN76" s="278">
        <f t="shared" si="29"/>
        <v>-3182.7000000000003</v>
      </c>
      <c r="AO76" s="278">
        <f t="shared" si="29"/>
        <v>-3182.7000000000003</v>
      </c>
    </row>
    <row r="77" spans="1:41" s="46" customFormat="1" ht="13.35" customHeight="1">
      <c r="B77" s="46" t="s">
        <v>63</v>
      </c>
      <c r="C77" s="252">
        <f>'Model Drivers'!G51</f>
        <v>0.03</v>
      </c>
      <c r="D77" s="276"/>
      <c r="E77" s="276"/>
      <c r="F77" s="641">
        <f>'Model Drivers'!C51</f>
        <v>-1000</v>
      </c>
      <c r="G77" s="278">
        <f t="shared" ref="G77:AO77" si="30">F77</f>
        <v>-1000</v>
      </c>
      <c r="H77" s="278">
        <f t="shared" si="30"/>
        <v>-1000</v>
      </c>
      <c r="I77" s="278">
        <f t="shared" si="30"/>
        <v>-1000</v>
      </c>
      <c r="J77" s="278">
        <f t="shared" si="30"/>
        <v>-1000</v>
      </c>
      <c r="K77" s="278">
        <f t="shared" si="30"/>
        <v>-1000</v>
      </c>
      <c r="L77" s="278">
        <f t="shared" si="30"/>
        <v>-1000</v>
      </c>
      <c r="M77" s="278">
        <f t="shared" si="30"/>
        <v>-1000</v>
      </c>
      <c r="N77" s="278">
        <f t="shared" si="30"/>
        <v>-1000</v>
      </c>
      <c r="O77" s="278">
        <f t="shared" si="30"/>
        <v>-1000</v>
      </c>
      <c r="P77" s="278">
        <f t="shared" si="30"/>
        <v>-1000</v>
      </c>
      <c r="Q77" s="278">
        <f t="shared" si="30"/>
        <v>-1000</v>
      </c>
      <c r="R77" s="642">
        <f>'Model Drivers'!D51</f>
        <v>-1030</v>
      </c>
      <c r="S77" s="278">
        <f t="shared" si="30"/>
        <v>-1030</v>
      </c>
      <c r="T77" s="278">
        <f t="shared" si="30"/>
        <v>-1030</v>
      </c>
      <c r="U77" s="278">
        <f t="shared" si="30"/>
        <v>-1030</v>
      </c>
      <c r="V77" s="278">
        <f t="shared" si="30"/>
        <v>-1030</v>
      </c>
      <c r="W77" s="278">
        <f t="shared" si="30"/>
        <v>-1030</v>
      </c>
      <c r="X77" s="278">
        <f t="shared" si="30"/>
        <v>-1030</v>
      </c>
      <c r="Y77" s="278">
        <f t="shared" si="30"/>
        <v>-1030</v>
      </c>
      <c r="Z77" s="278">
        <f t="shared" si="30"/>
        <v>-1030</v>
      </c>
      <c r="AA77" s="278">
        <f t="shared" si="30"/>
        <v>-1030</v>
      </c>
      <c r="AB77" s="278">
        <f t="shared" si="30"/>
        <v>-1030</v>
      </c>
      <c r="AC77" s="278">
        <f t="shared" si="30"/>
        <v>-1030</v>
      </c>
      <c r="AD77" s="642">
        <f>'Model Drivers'!E51</f>
        <v>-1060.9000000000001</v>
      </c>
      <c r="AE77" s="278">
        <f t="shared" si="30"/>
        <v>-1060.9000000000001</v>
      </c>
      <c r="AF77" s="278">
        <f t="shared" si="30"/>
        <v>-1060.9000000000001</v>
      </c>
      <c r="AG77" s="278">
        <f t="shared" si="30"/>
        <v>-1060.9000000000001</v>
      </c>
      <c r="AH77" s="278">
        <f t="shared" si="30"/>
        <v>-1060.9000000000001</v>
      </c>
      <c r="AI77" s="278">
        <f t="shared" si="30"/>
        <v>-1060.9000000000001</v>
      </c>
      <c r="AJ77" s="278">
        <f t="shared" si="30"/>
        <v>-1060.9000000000001</v>
      </c>
      <c r="AK77" s="278">
        <f t="shared" si="30"/>
        <v>-1060.9000000000001</v>
      </c>
      <c r="AL77" s="278">
        <f t="shared" si="30"/>
        <v>-1060.9000000000001</v>
      </c>
      <c r="AM77" s="278">
        <f t="shared" si="30"/>
        <v>-1060.9000000000001</v>
      </c>
      <c r="AN77" s="278">
        <f t="shared" si="30"/>
        <v>-1060.9000000000001</v>
      </c>
      <c r="AO77" s="278">
        <f t="shared" si="30"/>
        <v>-1060.9000000000001</v>
      </c>
    </row>
    <row r="78" spans="1:41" s="46" customFormat="1" ht="13.35" customHeight="1">
      <c r="A78" s="46" t="s">
        <v>47</v>
      </c>
      <c r="B78" s="246" t="s">
        <v>41</v>
      </c>
      <c r="C78" s="247"/>
      <c r="D78" s="246"/>
      <c r="E78" s="246"/>
      <c r="F78" s="270">
        <f>SUM(F66:F77)</f>
        <v>-35916.666666666664</v>
      </c>
      <c r="G78" s="270">
        <f t="shared" ref="G78:AO78" si="31">SUM(G66:G77)</f>
        <v>-40878.041650961757</v>
      </c>
      <c r="H78" s="270">
        <f t="shared" si="31"/>
        <v>-40317.471424973046</v>
      </c>
      <c r="I78" s="270">
        <f t="shared" si="31"/>
        <v>-41734.138091639717</v>
      </c>
      <c r="J78" s="270">
        <f t="shared" si="31"/>
        <v>-48173.135266780962</v>
      </c>
      <c r="K78" s="270">
        <f t="shared" si="31"/>
        <v>-51031.892328927861</v>
      </c>
      <c r="L78" s="270">
        <f t="shared" si="31"/>
        <v>-51931.708713108645</v>
      </c>
      <c r="M78" s="270">
        <f t="shared" si="31"/>
        <v>-55375.211537967407</v>
      </c>
      <c r="N78" s="270">
        <f t="shared" si="31"/>
        <v>-59840.62114248718</v>
      </c>
      <c r="O78" s="270">
        <f t="shared" si="31"/>
        <v>-58866.044871300735</v>
      </c>
      <c r="P78" s="270">
        <f t="shared" si="31"/>
        <v>-57891.468600114298</v>
      </c>
      <c r="Q78" s="270">
        <f t="shared" si="31"/>
        <v>-63125.126302545628</v>
      </c>
      <c r="R78" s="270">
        <f t="shared" si="31"/>
        <v>-73793.882617672905</v>
      </c>
      <c r="S78" s="270">
        <f t="shared" si="31"/>
        <v>-73793.882617672905</v>
      </c>
      <c r="T78" s="270">
        <f t="shared" si="31"/>
        <v>-73793.882617672905</v>
      </c>
      <c r="U78" s="270">
        <f t="shared" si="31"/>
        <v>-73793.882617672905</v>
      </c>
      <c r="V78" s="270">
        <f t="shared" si="31"/>
        <v>-74463.257617672905</v>
      </c>
      <c r="W78" s="270">
        <f t="shared" si="31"/>
        <v>-74463.257617672905</v>
      </c>
      <c r="X78" s="270">
        <f t="shared" si="31"/>
        <v>-76099.507617672905</v>
      </c>
      <c r="Y78" s="270">
        <f t="shared" si="31"/>
        <v>-76099.507617672905</v>
      </c>
      <c r="Z78" s="270">
        <f t="shared" si="31"/>
        <v>-76099.507617672905</v>
      </c>
      <c r="AA78" s="270">
        <f t="shared" si="31"/>
        <v>-76099.507617672905</v>
      </c>
      <c r="AB78" s="270">
        <f t="shared" si="31"/>
        <v>-76099.507617672905</v>
      </c>
      <c r="AC78" s="270">
        <f t="shared" si="31"/>
        <v>-90806.996167549223</v>
      </c>
      <c r="AD78" s="270">
        <f>SUM(AD66:AD77)</f>
        <v>-107072.46472592668</v>
      </c>
      <c r="AE78" s="270">
        <f t="shared" si="31"/>
        <v>-107931.49597592668</v>
      </c>
      <c r="AF78" s="270">
        <f t="shared" si="31"/>
        <v>-109649.55847592669</v>
      </c>
      <c r="AG78" s="270">
        <f t="shared" si="31"/>
        <v>-110352.40222592668</v>
      </c>
      <c r="AH78" s="270">
        <f t="shared" si="31"/>
        <v>-111992.37097592666</v>
      </c>
      <c r="AI78" s="270">
        <f t="shared" si="31"/>
        <v>-112806.37027084192</v>
      </c>
      <c r="AJ78" s="270">
        <f t="shared" si="31"/>
        <v>-114413.27722592668</v>
      </c>
      <c r="AK78" s="270">
        <f t="shared" si="31"/>
        <v>-114226.52568524872</v>
      </c>
      <c r="AL78" s="270">
        <f t="shared" si="31"/>
        <v>-116756.08972592668</v>
      </c>
      <c r="AM78" s="270">
        <f t="shared" si="31"/>
        <v>-117693.21472592668</v>
      </c>
      <c r="AN78" s="270">
        <f t="shared" si="31"/>
        <v>-118474.15222592665</v>
      </c>
      <c r="AO78" s="270">
        <f t="shared" si="31"/>
        <v>-119957.93347592665</v>
      </c>
    </row>
    <row r="79" spans="1:41" s="46" customFormat="1" ht="13.35" customHeight="1">
      <c r="C79" s="231"/>
      <c r="F79" s="264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4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4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</row>
    <row r="80" spans="1:41" s="46" customFormat="1" ht="13.35" customHeight="1">
      <c r="B80" s="256" t="s">
        <v>70</v>
      </c>
      <c r="C80" s="257"/>
      <c r="D80" s="258"/>
      <c r="E80" s="258"/>
      <c r="F80" s="281">
        <f t="shared" ref="F80:AO80" si="32">SUM(F32,F36,F63,F78,F43)</f>
        <v>-92028.049166666664</v>
      </c>
      <c r="G80" s="282">
        <f t="shared" si="32"/>
        <v>-96989.424150961742</v>
      </c>
      <c r="H80" s="282">
        <f t="shared" si="32"/>
        <v>-113512.18725830637</v>
      </c>
      <c r="I80" s="282">
        <f t="shared" si="32"/>
        <v>-123262.18725830638</v>
      </c>
      <c r="J80" s="282">
        <f t="shared" si="32"/>
        <v>-165284.51776678098</v>
      </c>
      <c r="K80" s="282">
        <f t="shared" si="32"/>
        <v>-156794.27482892788</v>
      </c>
      <c r="L80" s="282">
        <f t="shared" si="32"/>
        <v>-99496.091213108637</v>
      </c>
      <c r="M80" s="282">
        <f t="shared" si="32"/>
        <v>-136116.59403796738</v>
      </c>
      <c r="N80" s="282">
        <f t="shared" si="32"/>
        <v>-92630.2911424872</v>
      </c>
      <c r="O80" s="282">
        <f t="shared" si="32"/>
        <v>-155954.00237130074</v>
      </c>
      <c r="P80" s="282">
        <f t="shared" si="32"/>
        <v>-178406.4261001143</v>
      </c>
      <c r="Q80" s="282">
        <f t="shared" si="32"/>
        <v>-211692.08380254562</v>
      </c>
      <c r="R80" s="281">
        <f t="shared" si="32"/>
        <v>-185497.92345100624</v>
      </c>
      <c r="S80" s="282">
        <f t="shared" si="32"/>
        <v>-181394.25678433958</v>
      </c>
      <c r="T80" s="282">
        <f t="shared" si="32"/>
        <v>-177290.59011767292</v>
      </c>
      <c r="U80" s="282">
        <f t="shared" si="32"/>
        <v>-173112.42345100624</v>
      </c>
      <c r="V80" s="282">
        <f t="shared" si="32"/>
        <v>-173466.63178433958</v>
      </c>
      <c r="W80" s="282">
        <f t="shared" si="32"/>
        <v>-169213.96511767292</v>
      </c>
      <c r="X80" s="282">
        <f t="shared" si="32"/>
        <v>-176222.54845100624</v>
      </c>
      <c r="Y80" s="282">
        <f t="shared" si="32"/>
        <v>-171969.88178433958</v>
      </c>
      <c r="Z80" s="282">
        <f t="shared" si="32"/>
        <v>-167717.21511767292</v>
      </c>
      <c r="AA80" s="282">
        <f t="shared" si="32"/>
        <v>-163464.54845100624</v>
      </c>
      <c r="AB80" s="282">
        <f t="shared" si="32"/>
        <v>-159137.38178433958</v>
      </c>
      <c r="AC80" s="282">
        <f t="shared" si="32"/>
        <v>-169443.20366754924</v>
      </c>
      <c r="AD80" s="281">
        <f t="shared" si="32"/>
        <v>35256.327774073303</v>
      </c>
      <c r="AE80" s="282">
        <f t="shared" si="32"/>
        <v>49039.171524073303</v>
      </c>
      <c r="AF80" s="282">
        <f t="shared" si="32"/>
        <v>57009.359024073288</v>
      </c>
      <c r="AG80" s="282">
        <f t="shared" si="32"/>
        <v>72066.140274073405</v>
      </c>
      <c r="AH80" s="282">
        <f t="shared" si="32"/>
        <v>80772.796524073434</v>
      </c>
      <c r="AI80" s="282">
        <f t="shared" si="32"/>
        <v>94539.297229158168</v>
      </c>
      <c r="AJ80" s="282">
        <f t="shared" si="32"/>
        <v>104325.14527407341</v>
      </c>
      <c r="AK80" s="282">
        <f t="shared" si="32"/>
        <v>124803.89681475138</v>
      </c>
      <c r="AL80" s="282">
        <f t="shared" si="32"/>
        <v>128775.9527740734</v>
      </c>
      <c r="AM80" s="282">
        <f t="shared" si="32"/>
        <v>142817.3277740734</v>
      </c>
      <c r="AN80" s="282">
        <f t="shared" si="32"/>
        <v>158033.14027407346</v>
      </c>
      <c r="AO80" s="282">
        <f t="shared" si="32"/>
        <v>-223270.57947592647</v>
      </c>
    </row>
    <row r="81" spans="2:41" s="46" customFormat="1" ht="13.35" customHeight="1">
      <c r="B81" s="256" t="s">
        <v>68</v>
      </c>
      <c r="C81" s="257"/>
      <c r="D81" s="258"/>
      <c r="E81" s="258"/>
      <c r="F81" s="281">
        <f t="shared" ref="F81:AC81" si="33">SUM(E81,F80)</f>
        <v>-92028.049166666664</v>
      </c>
      <c r="G81" s="282">
        <f t="shared" si="33"/>
        <v>-189017.47331762841</v>
      </c>
      <c r="H81" s="282">
        <f t="shared" si="33"/>
        <v>-302529.6605759348</v>
      </c>
      <c r="I81" s="282">
        <f t="shared" si="33"/>
        <v>-425791.84783424117</v>
      </c>
      <c r="J81" s="282">
        <f t="shared" si="33"/>
        <v>-591076.36560102215</v>
      </c>
      <c r="K81" s="282">
        <f t="shared" si="33"/>
        <v>-747870.64042995009</v>
      </c>
      <c r="L81" s="282">
        <f t="shared" si="33"/>
        <v>-847366.73164305871</v>
      </c>
      <c r="M81" s="282">
        <f t="shared" si="33"/>
        <v>-983483.32568102609</v>
      </c>
      <c r="N81" s="282">
        <f t="shared" si="33"/>
        <v>-1076113.6168235133</v>
      </c>
      <c r="O81" s="282">
        <f t="shared" si="33"/>
        <v>-1232067.619194814</v>
      </c>
      <c r="P81" s="282">
        <f t="shared" si="33"/>
        <v>-1410474.0452949284</v>
      </c>
      <c r="Q81" s="282">
        <f t="shared" si="33"/>
        <v>-1622166.129097474</v>
      </c>
      <c r="R81" s="281">
        <f t="shared" si="33"/>
        <v>-1807664.0525484802</v>
      </c>
      <c r="S81" s="282">
        <f t="shared" si="33"/>
        <v>-1989058.3093328199</v>
      </c>
      <c r="T81" s="282">
        <f t="shared" si="33"/>
        <v>-2166348.899450493</v>
      </c>
      <c r="U81" s="282">
        <f t="shared" si="33"/>
        <v>-2339461.3229014995</v>
      </c>
      <c r="V81" s="282">
        <f t="shared" si="33"/>
        <v>-2512927.9546858389</v>
      </c>
      <c r="W81" s="282">
        <f t="shared" si="33"/>
        <v>-2682141.9198035118</v>
      </c>
      <c r="X81" s="282">
        <f t="shared" si="33"/>
        <v>-2858364.4682545182</v>
      </c>
      <c r="Y81" s="282">
        <f t="shared" si="33"/>
        <v>-3030334.3500388577</v>
      </c>
      <c r="Z81" s="282">
        <f t="shared" si="33"/>
        <v>-3198051.5651565306</v>
      </c>
      <c r="AA81" s="282">
        <f t="shared" si="33"/>
        <v>-3361516.113607537</v>
      </c>
      <c r="AB81" s="282">
        <f t="shared" si="33"/>
        <v>-3520653.4953918764</v>
      </c>
      <c r="AC81" s="282">
        <f t="shared" si="33"/>
        <v>-3690096.6990594259</v>
      </c>
      <c r="AD81" s="281">
        <f t="shared" ref="AD81:AO81" si="34">SUM(AC81,AD80)</f>
        <v>-3654840.3712853524</v>
      </c>
      <c r="AE81" s="282">
        <f t="shared" si="34"/>
        <v>-3605801.1997612789</v>
      </c>
      <c r="AF81" s="282">
        <f t="shared" si="34"/>
        <v>-3548791.8407372055</v>
      </c>
      <c r="AG81" s="282">
        <f t="shared" si="34"/>
        <v>-3476725.700463132</v>
      </c>
      <c r="AH81" s="282">
        <f t="shared" si="34"/>
        <v>-3395952.9039390585</v>
      </c>
      <c r="AI81" s="282">
        <f t="shared" si="34"/>
        <v>-3301413.6067099003</v>
      </c>
      <c r="AJ81" s="282">
        <f t="shared" si="34"/>
        <v>-3197088.461435827</v>
      </c>
      <c r="AK81" s="282">
        <f t="shared" si="34"/>
        <v>-3072284.5646210755</v>
      </c>
      <c r="AL81" s="282">
        <f t="shared" si="34"/>
        <v>-2943508.6118470021</v>
      </c>
      <c r="AM81" s="282">
        <f t="shared" si="34"/>
        <v>-2800691.2840729286</v>
      </c>
      <c r="AN81" s="282">
        <f t="shared" si="34"/>
        <v>-2642658.1437988551</v>
      </c>
      <c r="AO81" s="282">
        <f t="shared" si="34"/>
        <v>-2865928.7232747814</v>
      </c>
    </row>
    <row r="82" spans="2:41" s="46" customFormat="1" ht="13.35" customHeight="1">
      <c r="C82" s="231"/>
      <c r="F82" s="234"/>
      <c r="R82" s="234"/>
      <c r="AD82" s="234"/>
    </row>
    <row r="83" spans="2:41" s="46" customFormat="1" ht="13.35" customHeight="1"/>
    <row r="84" spans="2:41" s="46" customFormat="1" ht="13.35" customHeight="1">
      <c r="B84" s="235" t="s">
        <v>39</v>
      </c>
    </row>
    <row r="85" spans="2:41" s="46" customFormat="1" ht="13.35" customHeight="1">
      <c r="B85" s="259"/>
    </row>
    <row r="86" spans="2:41" s="46" customFormat="1" ht="13.35" customHeight="1">
      <c r="B86" s="259"/>
    </row>
    <row r="87" spans="2:41" s="46" customFormat="1" ht="13.35" customHeight="1">
      <c r="B87" s="259"/>
    </row>
    <row r="88" spans="2:41" s="46" customFormat="1" ht="13.35" customHeight="1"/>
    <row r="89" spans="2:41" s="46" customFormat="1" ht="13.35" customHeight="1"/>
  </sheetData>
  <pageMargins left="0.7" right="0.7" top="0.75" bottom="0.75" header="0.3" footer="0.3"/>
  <pageSetup scale="58" fitToHeight="0" orientation="landscape" r:id="rId1"/>
  <rowBreaks count="2" manualBreakCount="2">
    <brk id="63" max="40" man="1"/>
    <brk id="83" max="40" man="1"/>
  </rowBreaks>
  <colBreaks count="4" manualBreakCount="4">
    <brk id="5" max="83" man="1"/>
    <brk id="11" max="82" man="1"/>
    <brk id="17" max="82" man="1"/>
    <brk id="29" max="82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40C8-5CCA-4B51-8491-F0B8F07B998B}">
  <sheetPr>
    <tabColor rgb="FF00B0F0"/>
  </sheetPr>
  <dimension ref="A1:Q96"/>
  <sheetViews>
    <sheetView showGridLines="0" view="pageBreakPreview" topLeftCell="A2" zoomScale="70" zoomScaleNormal="100" zoomScaleSheetLayoutView="70" workbookViewId="0">
      <selection activeCell="B8" sqref="B8"/>
    </sheetView>
  </sheetViews>
  <sheetFormatPr defaultColWidth="8.7109375" defaultRowHeight="13.35" customHeight="1"/>
  <cols>
    <col min="1" max="1" width="1.7109375" style="5" customWidth="1"/>
    <col min="2" max="2" width="32.28515625" style="5" bestFit="1" customWidth="1"/>
    <col min="3" max="3" width="1.7109375" style="5" customWidth="1"/>
    <col min="4" max="4" width="13.42578125" style="5" customWidth="1"/>
    <col min="5" max="5" width="11.140625" style="5" customWidth="1"/>
    <col min="6" max="17" width="15.7109375" style="5" customWidth="1"/>
    <col min="18" max="18" width="3.7109375" style="5" customWidth="1"/>
    <col min="19" max="16384" width="8.7109375" style="5"/>
  </cols>
  <sheetData>
    <row r="1" spans="1:17" ht="20.100000000000001" customHeight="1">
      <c r="B1" s="41" t="str">
        <f>'Annual P&amp;L'!B1</f>
        <v>Steward Holdings (US) Inc., A Public Benefit Corporation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3.35" customHeight="1">
      <c r="B2" s="4" t="s">
        <v>8</v>
      </c>
      <c r="C2" s="4"/>
      <c r="D2" s="106" t="s">
        <v>2</v>
      </c>
      <c r="E2" s="106" t="s">
        <v>2</v>
      </c>
      <c r="F2" s="106" t="s">
        <v>3</v>
      </c>
      <c r="G2" s="106" t="s">
        <v>3</v>
      </c>
      <c r="H2" s="106" t="s">
        <v>3</v>
      </c>
      <c r="I2" s="106" t="s">
        <v>3</v>
      </c>
      <c r="J2" s="106" t="s">
        <v>36</v>
      </c>
      <c r="K2" s="106" t="s">
        <v>36</v>
      </c>
      <c r="L2" s="106" t="s">
        <v>36</v>
      </c>
      <c r="M2" s="106" t="s">
        <v>36</v>
      </c>
      <c r="N2" s="106" t="s">
        <v>48</v>
      </c>
      <c r="O2" s="106" t="s">
        <v>48</v>
      </c>
      <c r="P2" s="106" t="s">
        <v>48</v>
      </c>
      <c r="Q2" s="106" t="s">
        <v>48</v>
      </c>
    </row>
    <row r="3" spans="1:17" ht="13.35" customHeight="1">
      <c r="B3" s="107"/>
      <c r="C3" s="107"/>
      <c r="D3" s="106" t="s">
        <v>11</v>
      </c>
      <c r="E3" s="106" t="s">
        <v>12</v>
      </c>
      <c r="F3" s="106" t="s">
        <v>42</v>
      </c>
      <c r="G3" s="106" t="s">
        <v>13</v>
      </c>
      <c r="H3" s="106" t="s">
        <v>14</v>
      </c>
      <c r="I3" s="106" t="s">
        <v>15</v>
      </c>
      <c r="J3" s="106" t="s">
        <v>16</v>
      </c>
      <c r="K3" s="106" t="s">
        <v>17</v>
      </c>
      <c r="L3" s="106" t="s">
        <v>18</v>
      </c>
      <c r="M3" s="106" t="s">
        <v>19</v>
      </c>
      <c r="N3" s="106" t="s">
        <v>24</v>
      </c>
      <c r="O3" s="106" t="s">
        <v>25</v>
      </c>
      <c r="P3" s="106" t="s">
        <v>26</v>
      </c>
      <c r="Q3" s="106" t="s">
        <v>27</v>
      </c>
    </row>
    <row r="4" spans="1:17" ht="13.35" customHeight="1">
      <c r="A4" s="5" t="s">
        <v>47</v>
      </c>
      <c r="B4" s="7"/>
      <c r="C4" s="7"/>
      <c r="D4" s="7"/>
      <c r="E4" s="7"/>
      <c r="F4" s="8" t="s">
        <v>30</v>
      </c>
      <c r="G4" s="7"/>
      <c r="H4" s="7"/>
      <c r="I4" s="377"/>
      <c r="J4" s="8" t="s">
        <v>29</v>
      </c>
      <c r="K4" s="7"/>
      <c r="L4" s="7"/>
      <c r="M4" s="377"/>
      <c r="N4" s="8" t="s">
        <v>50</v>
      </c>
      <c r="O4" s="7"/>
      <c r="P4" s="7"/>
      <c r="Q4" s="377"/>
    </row>
    <row r="5" spans="1:17" s="111" customFormat="1" ht="13.35" customHeight="1">
      <c r="B5" s="163">
        <v>1000</v>
      </c>
      <c r="C5" s="109"/>
      <c r="D5" s="109"/>
      <c r="E5" s="109"/>
      <c r="F5" s="396" t="s">
        <v>20</v>
      </c>
      <c r="G5" s="372" t="s">
        <v>21</v>
      </c>
      <c r="H5" s="372" t="s">
        <v>22</v>
      </c>
      <c r="I5" s="378" t="s">
        <v>23</v>
      </c>
      <c r="J5" s="396" t="s">
        <v>31</v>
      </c>
      <c r="K5" s="372" t="s">
        <v>32</v>
      </c>
      <c r="L5" s="372" t="s">
        <v>33</v>
      </c>
      <c r="M5" s="378" t="s">
        <v>34</v>
      </c>
      <c r="N5" s="396" t="s">
        <v>51</v>
      </c>
      <c r="O5" s="372" t="s">
        <v>52</v>
      </c>
      <c r="P5" s="372" t="s">
        <v>53</v>
      </c>
      <c r="Q5" s="378" t="s">
        <v>54</v>
      </c>
    </row>
    <row r="6" spans="1:17" s="111" customFormat="1" ht="13.35" customHeight="1">
      <c r="B6" s="18"/>
      <c r="C6" s="18"/>
      <c r="D6" s="18"/>
      <c r="E6" s="18"/>
      <c r="F6" s="21"/>
      <c r="G6" s="113"/>
      <c r="H6" s="113"/>
      <c r="I6" s="379"/>
      <c r="J6" s="21"/>
      <c r="K6" s="113"/>
      <c r="L6" s="113"/>
      <c r="M6" s="379"/>
      <c r="N6" s="21"/>
      <c r="O6" s="113"/>
      <c r="P6" s="113"/>
      <c r="Q6" s="379"/>
    </row>
    <row r="7" spans="1:17" s="144" customFormat="1" ht="15">
      <c r="B7" s="583" t="s">
        <v>318</v>
      </c>
      <c r="C7" s="584"/>
      <c r="D7" s="585"/>
      <c r="E7" s="586"/>
      <c r="F7" s="587">
        <f>SUMIF('Monthly P&amp;L'!$D$2:$AO$2,F$5,'Monthly P&amp;L'!$D7:$AO7)</f>
        <v>100</v>
      </c>
      <c r="G7" s="588">
        <f>SUMIF('Monthly P&amp;L'!$D$2:$AO$2,G$5,'Monthly P&amp;L'!$D7:$AO7)</f>
        <v>300</v>
      </c>
      <c r="H7" s="588">
        <f>SUMIF('Monthly P&amp;L'!$D$2:$AO$2,H$5,'Monthly P&amp;L'!$D7:$AO7)</f>
        <v>300</v>
      </c>
      <c r="I7" s="589">
        <f>SUMIF('Monthly P&amp;L'!$D$2:$AO$2,I$5,'Monthly P&amp;L'!$D7:$AO7)</f>
        <v>300</v>
      </c>
      <c r="J7" s="587">
        <f>SUMIF('Monthly P&amp;L'!$D$2:$AO$2,J$5,'Monthly P&amp;L'!$D7:$AO7)</f>
        <v>750</v>
      </c>
      <c r="K7" s="588">
        <f>SUMIF('Monthly P&amp;L'!$D$2:$AO$2,K$5,'Monthly P&amp;L'!$D7:$AO7)</f>
        <v>750</v>
      </c>
      <c r="L7" s="588">
        <f>SUMIF('Monthly P&amp;L'!$D$2:$AO$2,L$5,'Monthly P&amp;L'!$D7:$AO7)</f>
        <v>750</v>
      </c>
      <c r="M7" s="589">
        <f>SUMIF('Monthly P&amp;L'!$D$2:$AO$2,M$5,'Monthly P&amp;L'!$D7:$AO7)</f>
        <v>750</v>
      </c>
      <c r="N7" s="587">
        <f>SUMIF('Monthly P&amp;L'!$D$2:$AO$2,N$5,'Monthly P&amp;L'!$D7:$AO7)</f>
        <v>1500</v>
      </c>
      <c r="O7" s="588">
        <f>SUMIF('Monthly P&amp;L'!$D$2:$AO$2,O$5,'Monthly P&amp;L'!$D7:$AO7)</f>
        <v>1500</v>
      </c>
      <c r="P7" s="588">
        <f>SUMIF('Monthly P&amp;L'!$D$2:$AO$2,P$5,'Monthly P&amp;L'!$D7:$AO7)</f>
        <v>1500</v>
      </c>
      <c r="Q7" s="589">
        <f>SUMIF('Monthly P&amp;L'!$D$2:$AO$2,Q$5,'Monthly P&amp;L'!$D7:$AO7)</f>
        <v>1500</v>
      </c>
    </row>
    <row r="8" spans="1:17" s="144" customFormat="1" ht="15">
      <c r="B8" s="583" t="s">
        <v>407</v>
      </c>
      <c r="C8" s="85"/>
      <c r="D8" s="388"/>
      <c r="E8" s="13"/>
      <c r="F8" s="587">
        <f>SUM('Annual P&amp;L'!D7:E7,'Quarterly P&amp;L'!F7)</f>
        <v>1300</v>
      </c>
      <c r="G8" s="588">
        <f>F8+G7</f>
        <v>1600</v>
      </c>
      <c r="H8" s="588">
        <f t="shared" ref="H8:Q8" si="0">G8+H7</f>
        <v>1900</v>
      </c>
      <c r="I8" s="588">
        <f t="shared" si="0"/>
        <v>2200</v>
      </c>
      <c r="J8" s="588">
        <f t="shared" si="0"/>
        <v>2950</v>
      </c>
      <c r="K8" s="588">
        <f t="shared" si="0"/>
        <v>3700</v>
      </c>
      <c r="L8" s="588">
        <f t="shared" si="0"/>
        <v>4450</v>
      </c>
      <c r="M8" s="588">
        <f t="shared" si="0"/>
        <v>5200</v>
      </c>
      <c r="N8" s="588">
        <f t="shared" si="0"/>
        <v>6700</v>
      </c>
      <c r="O8" s="588">
        <f t="shared" si="0"/>
        <v>8200</v>
      </c>
      <c r="P8" s="588">
        <f t="shared" si="0"/>
        <v>9700</v>
      </c>
      <c r="Q8" s="588">
        <f t="shared" si="0"/>
        <v>11200</v>
      </c>
    </row>
    <row r="9" spans="1:17" ht="15">
      <c r="A9" s="5" t="s">
        <v>47</v>
      </c>
      <c r="B9" s="228" t="s">
        <v>331</v>
      </c>
      <c r="C9" s="11"/>
      <c r="D9" s="11"/>
      <c r="E9" s="11"/>
      <c r="F9" s="158"/>
      <c r="G9" s="11"/>
      <c r="H9" s="11"/>
      <c r="I9" s="397"/>
      <c r="J9" s="158"/>
      <c r="K9" s="11"/>
      <c r="L9" s="11"/>
      <c r="M9" s="397"/>
      <c r="N9" s="158"/>
      <c r="O9" s="11"/>
      <c r="P9" s="11"/>
      <c r="Q9" s="397"/>
    </row>
    <row r="10" spans="1:17" s="144" customFormat="1" ht="15">
      <c r="B10" s="49" t="s">
        <v>109</v>
      </c>
      <c r="C10" s="85"/>
      <c r="D10" s="388"/>
      <c r="E10" s="13"/>
      <c r="F10" s="398">
        <f>SUMIF('Monthly P&amp;L'!$D$2:$AO$2,F$5,'Monthly P&amp;L'!$D11:$AO11)</f>
        <v>0</v>
      </c>
      <c r="G10" s="206">
        <f>SUMIF('Monthly P&amp;L'!$D$2:$AO$2,G$5,'Monthly P&amp;L'!$D11:$AO11)</f>
        <v>1</v>
      </c>
      <c r="H10" s="206">
        <f>SUMIF('Monthly P&amp;L'!$D$2:$AO$2,H$5,'Monthly P&amp;L'!$D11:$AO11)</f>
        <v>13</v>
      </c>
      <c r="I10" s="380">
        <f>SUMIF('Monthly P&amp;L'!$D$2:$AO$2,I$5,'Monthly P&amp;L'!$D11:$AO11)</f>
        <v>16</v>
      </c>
      <c r="J10" s="398">
        <f>SUMIF('Monthly P&amp;L'!$D$2:$AO$2,J$5,'Monthly P&amp;L'!$D11:$AO11)</f>
        <v>39</v>
      </c>
      <c r="K10" s="206">
        <f>SUMIF('Monthly P&amp;L'!$D$2:$AO$2,K$5,'Monthly P&amp;L'!$D11:$AO11)</f>
        <v>39</v>
      </c>
      <c r="L10" s="206">
        <f>SUMIF('Monthly P&amp;L'!$D$2:$AO$2,L$5,'Monthly P&amp;L'!$D11:$AO11)</f>
        <v>39</v>
      </c>
      <c r="M10" s="380">
        <f>SUMIF('Monthly P&amp;L'!$D$2:$AO$2,M$5,'Monthly P&amp;L'!$D11:$AO11)</f>
        <v>39</v>
      </c>
      <c r="N10" s="398">
        <f>SUMIF('Monthly P&amp;L'!$D$2:$AO$2,N$5,'Monthly P&amp;L'!$D11:$AO11)</f>
        <v>105</v>
      </c>
      <c r="O10" s="206">
        <f>SUMIF('Monthly P&amp;L'!$D$2:$AO$2,O$5,'Monthly P&amp;L'!$D11:$AO11)</f>
        <v>105</v>
      </c>
      <c r="P10" s="206">
        <f>SUMIF('Monthly P&amp;L'!$D$2:$AO$2,P$5,'Monthly P&amp;L'!$D11:$AO11)</f>
        <v>105</v>
      </c>
      <c r="Q10" s="380">
        <f>SUMIF('Monthly P&amp;L'!$D$2:$AO$2,Q$5,'Monthly P&amp;L'!$D11:$AO11)</f>
        <v>105</v>
      </c>
    </row>
    <row r="11" spans="1:17" s="46" customFormat="1" ht="15">
      <c r="B11" s="49" t="s">
        <v>110</v>
      </c>
      <c r="C11" s="85"/>
      <c r="D11" s="85"/>
      <c r="F11" s="412">
        <f>'Monthly P&amp;L'!H12</f>
        <v>15</v>
      </c>
      <c r="G11" s="413">
        <f>'Monthly P&amp;L'!K12</f>
        <v>16</v>
      </c>
      <c r="H11" s="413">
        <f>'Monthly P&amp;L'!N12</f>
        <v>29</v>
      </c>
      <c r="I11" s="414">
        <f>'Monthly P&amp;L'!Q12</f>
        <v>45</v>
      </c>
      <c r="J11" s="413">
        <f>'Monthly P&amp;L'!T12</f>
        <v>84</v>
      </c>
      <c r="K11" s="413">
        <f>'Monthly P&amp;L'!W12</f>
        <v>123</v>
      </c>
      <c r="L11" s="413">
        <f>'Monthly P&amp;L'!Z12</f>
        <v>162</v>
      </c>
      <c r="M11" s="414">
        <f>'Monthly P&amp;L'!AC12</f>
        <v>201</v>
      </c>
      <c r="N11" s="413">
        <f>'Monthly P&amp;L'!AF12</f>
        <v>306</v>
      </c>
      <c r="O11" s="413">
        <f>'Monthly P&amp;L'!AI12</f>
        <v>411</v>
      </c>
      <c r="P11" s="413">
        <f>'Monthly P&amp;L'!AL12</f>
        <v>514</v>
      </c>
      <c r="Q11" s="414">
        <f>'Monthly P&amp;L'!AO12</f>
        <v>619</v>
      </c>
    </row>
    <row r="12" spans="1:17" s="46" customFormat="1" ht="15">
      <c r="B12" s="49" t="s">
        <v>244</v>
      </c>
      <c r="C12" s="85"/>
      <c r="D12" s="85"/>
      <c r="F12" s="412">
        <f>'Monthly P&amp;L'!H13</f>
        <v>69.294737853107478</v>
      </c>
      <c r="G12" s="413">
        <f>'Monthly P&amp;L'!K13</f>
        <v>77.091348022599007</v>
      </c>
      <c r="H12" s="413">
        <f>'Monthly P&amp;L'!N13</f>
        <v>281.10264745762765</v>
      </c>
      <c r="I12" s="414">
        <f>'Monthly P&amp;L'!Q13</f>
        <v>362.96705423728883</v>
      </c>
      <c r="J12" s="413">
        <f>'Monthly P&amp;L'!T13</f>
        <v>565.67891864406886</v>
      </c>
      <c r="K12" s="413">
        <f>'Monthly P&amp;L'!W13</f>
        <v>768.39078305084888</v>
      </c>
      <c r="L12" s="413">
        <f>'Monthly P&amp;L'!Z13</f>
        <v>971.1026474576289</v>
      </c>
      <c r="M12" s="414">
        <f>'Monthly P&amp;L'!AC13</f>
        <v>1173.814511864409</v>
      </c>
      <c r="N12" s="413">
        <f>'Monthly P&amp;L'!AF13</f>
        <v>1992.4585796610206</v>
      </c>
      <c r="O12" s="413">
        <f>'Monthly P&amp;L'!AI13</f>
        <v>2811.1026474576324</v>
      </c>
      <c r="P12" s="413">
        <f>'Monthly P&amp;L'!AL13</f>
        <v>3624.1253593220408</v>
      </c>
      <c r="Q12" s="414">
        <f>'Monthly P&amp;L'!AO13</f>
        <v>4442.7694271186519</v>
      </c>
    </row>
    <row r="13" spans="1:17" s="46" customFormat="1" ht="15">
      <c r="B13" s="49" t="s">
        <v>245</v>
      </c>
      <c r="C13" s="85"/>
      <c r="D13" s="85"/>
      <c r="F13" s="502">
        <f t="shared" ref="F13:Q13" si="1">F12-E12</f>
        <v>69.294737853107478</v>
      </c>
      <c r="G13" s="503">
        <f t="shared" si="1"/>
        <v>7.7966101694915295</v>
      </c>
      <c r="H13" s="503">
        <f t="shared" si="1"/>
        <v>204.01129943502866</v>
      </c>
      <c r="I13" s="504">
        <f t="shared" si="1"/>
        <v>81.864406779661181</v>
      </c>
      <c r="J13" s="503">
        <f t="shared" si="1"/>
        <v>202.71186440678002</v>
      </c>
      <c r="K13" s="503">
        <f t="shared" si="1"/>
        <v>202.71186440678002</v>
      </c>
      <c r="L13" s="503">
        <f t="shared" si="1"/>
        <v>202.71186440678002</v>
      </c>
      <c r="M13" s="504">
        <f t="shared" si="1"/>
        <v>202.71186440678014</v>
      </c>
      <c r="N13" s="503">
        <f t="shared" si="1"/>
        <v>818.64406779661158</v>
      </c>
      <c r="O13" s="503">
        <f t="shared" si="1"/>
        <v>818.64406779661181</v>
      </c>
      <c r="P13" s="503">
        <f t="shared" si="1"/>
        <v>813.02271186440839</v>
      </c>
      <c r="Q13" s="504">
        <f t="shared" si="1"/>
        <v>818.64406779661113</v>
      </c>
    </row>
    <row r="14" spans="1:17" s="46" customFormat="1" ht="5.0999999999999996" customHeight="1">
      <c r="B14" s="49"/>
      <c r="C14" s="85"/>
      <c r="D14" s="85"/>
      <c r="F14" s="502"/>
      <c r="G14" s="503"/>
      <c r="H14" s="503"/>
      <c r="I14" s="504"/>
      <c r="J14" s="503"/>
      <c r="K14" s="503"/>
      <c r="L14" s="503"/>
      <c r="M14" s="504"/>
      <c r="N14" s="503"/>
      <c r="O14" s="503"/>
      <c r="P14" s="503"/>
      <c r="Q14" s="504"/>
    </row>
    <row r="15" spans="1:17" ht="15">
      <c r="A15" s="5" t="s">
        <v>47</v>
      </c>
      <c r="B15" s="228" t="s">
        <v>198</v>
      </c>
      <c r="C15" s="11"/>
      <c r="D15" s="11"/>
      <c r="E15" s="11"/>
      <c r="F15" s="158"/>
      <c r="G15" s="11"/>
      <c r="H15" s="11"/>
      <c r="I15" s="397"/>
      <c r="J15" s="158"/>
      <c r="K15" s="11"/>
      <c r="L15" s="11"/>
      <c r="M15" s="397"/>
      <c r="N15" s="158"/>
      <c r="O15" s="11"/>
      <c r="P15" s="11"/>
      <c r="Q15" s="397"/>
    </row>
    <row r="16" spans="1:17" ht="5.0999999999999996" customHeight="1">
      <c r="B16" s="46"/>
      <c r="C16" s="85"/>
      <c r="D16" s="85"/>
      <c r="E16" s="46"/>
      <c r="F16" s="234"/>
      <c r="G16" s="85"/>
      <c r="H16" s="85"/>
      <c r="I16" s="115"/>
      <c r="J16" s="234"/>
      <c r="K16" s="85"/>
      <c r="L16" s="85"/>
      <c r="M16" s="115"/>
      <c r="N16" s="234"/>
      <c r="O16" s="85"/>
      <c r="P16" s="85"/>
      <c r="Q16" s="115"/>
    </row>
    <row r="17" spans="1:17" ht="15">
      <c r="B17" s="49" t="s">
        <v>111</v>
      </c>
      <c r="C17" s="85"/>
      <c r="D17" s="388"/>
      <c r="E17" s="13"/>
      <c r="F17" s="415">
        <f>SUMIF('Monthly P&amp;L'!$D$2:$AO$2,F$5,'Monthly P&amp;L'!$D18:$AO18)/$B$5</f>
        <v>0</v>
      </c>
      <c r="G17" s="416">
        <f>SUMIF('Monthly P&amp;L'!$D$2:$AO$2,G$5,'Monthly P&amp;L'!$D18:$AO18)/$B$5</f>
        <v>300</v>
      </c>
      <c r="H17" s="416">
        <f>SUMIF('Monthly P&amp;L'!$D$2:$AO$2,H$5,'Monthly P&amp;L'!$D18:$AO18)/$B$5</f>
        <v>7850</v>
      </c>
      <c r="I17" s="417">
        <f>SUMIF('Monthly P&amp;L'!$D$2:$AO$2,I$5,'Monthly P&amp;L'!$D18:$AO18)/$B$5</f>
        <v>3150</v>
      </c>
      <c r="J17" s="415">
        <f>SUMIF('Monthly P&amp;L'!$D$2:$AO$2,J$5,'Monthly P&amp;L'!$D18:$AO18)/$B$5</f>
        <v>7800</v>
      </c>
      <c r="K17" s="416">
        <f>SUMIF('Monthly P&amp;L'!$D$2:$AO$2,K$5,'Monthly P&amp;L'!$D18:$AO18)/$B$5</f>
        <v>7800</v>
      </c>
      <c r="L17" s="416">
        <f>SUMIF('Monthly P&amp;L'!$D$2:$AO$2,L$5,'Monthly P&amp;L'!$D18:$AO18)/$B$5</f>
        <v>7800</v>
      </c>
      <c r="M17" s="417">
        <f>SUMIF('Monthly P&amp;L'!$D$2:$AO$2,M$5,'Monthly P&amp;L'!$D18:$AO18)/$B$5</f>
        <v>7800</v>
      </c>
      <c r="N17" s="415">
        <f>SUMIF('Monthly P&amp;L'!$D$2:$AO$2,N$5,'Monthly P&amp;L'!$D18:$AO18)/$B$5</f>
        <v>31500</v>
      </c>
      <c r="O17" s="416">
        <f>SUMIF('Monthly P&amp;L'!$D$2:$AO$2,O$5,'Monthly P&amp;L'!$D18:$AO18)/$B$5</f>
        <v>31500</v>
      </c>
      <c r="P17" s="416">
        <f>SUMIF('Monthly P&amp;L'!$D$2:$AO$2,P$5,'Monthly P&amp;L'!$D18:$AO18)/$B$5</f>
        <v>31500</v>
      </c>
      <c r="Q17" s="417">
        <f>SUMIF('Monthly P&amp;L'!$D$2:$AO$2,Q$5,'Monthly P&amp;L'!$D18:$AO18)/$B$5</f>
        <v>31500</v>
      </c>
    </row>
    <row r="18" spans="1:17" ht="5.0999999999999996" customHeight="1">
      <c r="B18" s="49"/>
      <c r="C18" s="85"/>
      <c r="D18" s="389"/>
      <c r="E18" s="50"/>
      <c r="F18" s="399"/>
      <c r="G18" s="400"/>
      <c r="H18" s="400"/>
      <c r="I18" s="401"/>
      <c r="J18" s="399"/>
      <c r="K18" s="400"/>
      <c r="L18" s="400"/>
      <c r="M18" s="401"/>
      <c r="N18" s="399"/>
      <c r="O18" s="400"/>
      <c r="P18" s="400"/>
      <c r="Q18" s="401"/>
    </row>
    <row r="19" spans="1:17" ht="15">
      <c r="B19" s="49" t="s">
        <v>112</v>
      </c>
      <c r="C19" s="85"/>
      <c r="D19" s="389"/>
      <c r="E19" s="13"/>
      <c r="F19" s="418">
        <f>'Monthly P&amp;L'!H20/'Quarterly P&amp;L'!$B$5</f>
        <v>2666.3409999999999</v>
      </c>
      <c r="G19" s="419">
        <f>'Monthly P&amp;L'!K20/'Quarterly P&amp;L'!$B$5</f>
        <v>2966.3409999999999</v>
      </c>
      <c r="H19" s="419">
        <f>'Monthly P&amp;L'!N20/'Quarterly P&amp;L'!$B$5</f>
        <v>10816.341</v>
      </c>
      <c r="I19" s="420">
        <f>'Monthly P&amp;L'!Q20/'Quarterly P&amp;L'!$B$5</f>
        <v>13966.341</v>
      </c>
      <c r="J19" s="419">
        <f>'Monthly P&amp;L'!T20/'Quarterly P&amp;L'!$B$5</f>
        <v>21766.341</v>
      </c>
      <c r="K19" s="419">
        <f>'Monthly P&amp;L'!W20/'Quarterly P&amp;L'!$B$5</f>
        <v>29566.341</v>
      </c>
      <c r="L19" s="419">
        <f>'Monthly P&amp;L'!Z20/'Quarterly P&amp;L'!$B$5</f>
        <v>37366.341</v>
      </c>
      <c r="M19" s="420">
        <f>'Monthly P&amp;L'!AC20/'Quarterly P&amp;L'!$B$5</f>
        <v>45166.341</v>
      </c>
      <c r="N19" s="419">
        <f>'Monthly P&amp;L'!AF20/'Quarterly P&amp;L'!$B$5</f>
        <v>76666.341</v>
      </c>
      <c r="O19" s="419">
        <f>'Monthly P&amp;L'!AI20/'Quarterly P&amp;L'!$B$5</f>
        <v>108166.341</v>
      </c>
      <c r="P19" s="419">
        <f>'Monthly P&amp;L'!AL20/'Quarterly P&amp;L'!$B$5</f>
        <v>139450.041</v>
      </c>
      <c r="Q19" s="420">
        <f>'Monthly P&amp;L'!AO20/'Quarterly P&amp;L'!$B$5</f>
        <v>170950.041</v>
      </c>
    </row>
    <row r="20" spans="1:17" ht="12" customHeight="1">
      <c r="B20" s="46"/>
      <c r="C20" s="160"/>
      <c r="D20" s="160"/>
      <c r="F20" s="17"/>
      <c r="G20" s="160"/>
      <c r="H20" s="160"/>
      <c r="I20" s="402"/>
      <c r="J20" s="17"/>
      <c r="K20" s="160"/>
      <c r="L20" s="160"/>
      <c r="M20" s="402"/>
      <c r="N20" s="17"/>
      <c r="O20" s="160"/>
      <c r="P20" s="160"/>
      <c r="Q20" s="402"/>
    </row>
    <row r="21" spans="1:17" ht="15">
      <c r="A21" s="5" t="s">
        <v>47</v>
      </c>
      <c r="B21" s="228" t="s">
        <v>330</v>
      </c>
      <c r="C21" s="11"/>
      <c r="D21" s="11"/>
      <c r="E21" s="11"/>
      <c r="F21" s="158"/>
      <c r="G21" s="11"/>
      <c r="H21" s="11"/>
      <c r="I21" s="397"/>
      <c r="J21" s="158"/>
      <c r="K21" s="11"/>
      <c r="L21" s="11"/>
      <c r="M21" s="397"/>
      <c r="N21" s="158"/>
      <c r="O21" s="11"/>
      <c r="P21" s="11"/>
      <c r="Q21" s="397"/>
    </row>
    <row r="22" spans="1:17" ht="15">
      <c r="B22" s="49" t="s">
        <v>184</v>
      </c>
      <c r="C22" s="85"/>
      <c r="D22" s="164"/>
      <c r="E22" s="164"/>
      <c r="F22" s="398">
        <f>SUMIF('Monthly P&amp;L'!$D$2:$AO$2,F$5,'Monthly P&amp;L'!$D22:$AO22)</f>
        <v>0</v>
      </c>
      <c r="G22" s="206">
        <f>SUMIF('Monthly P&amp;L'!$D$2:$AO$2,G$5,'Monthly P&amp;L'!$D22:$AO22)</f>
        <v>2</v>
      </c>
      <c r="H22" s="206">
        <f>SUMIF('Monthly P&amp;L'!$D$2:$AO$2,H$5,'Monthly P&amp;L'!$D22:$AO22)</f>
        <v>6</v>
      </c>
      <c r="I22" s="380">
        <f>SUMIF('Monthly P&amp;L'!$D$2:$AO$2,I$5,'Monthly P&amp;L'!$D22:$AO22)</f>
        <v>6</v>
      </c>
      <c r="J22" s="398">
        <f>SUMIF('Monthly P&amp;L'!$D$2:$AO$2,J$5,'Monthly P&amp;L'!$D22:$AO22)</f>
        <v>39</v>
      </c>
      <c r="K22" s="206">
        <f>SUMIF('Monthly P&amp;L'!$D$2:$AO$2,K$5,'Monthly P&amp;L'!$D22:$AO22)</f>
        <v>39</v>
      </c>
      <c r="L22" s="206">
        <f>SUMIF('Monthly P&amp;L'!$D$2:$AO$2,L$5,'Monthly P&amp;L'!$D22:$AO22)</f>
        <v>39</v>
      </c>
      <c r="M22" s="380">
        <f>SUMIF('Monthly P&amp;L'!$D$2:$AO$2,M$5,'Monthly P&amp;L'!$D22:$AO22)</f>
        <v>39</v>
      </c>
      <c r="N22" s="398">
        <f>SUMIF('Monthly P&amp;L'!$D$2:$AO$2,N$5,'Monthly P&amp;L'!$D22:$AO22)</f>
        <v>159</v>
      </c>
      <c r="O22" s="206">
        <f>SUMIF('Monthly P&amp;L'!$D$2:$AO$2,O$5,'Monthly P&amp;L'!$D22:$AO22)</f>
        <v>159</v>
      </c>
      <c r="P22" s="206">
        <f>SUMIF('Monthly P&amp;L'!$D$2:$AO$2,P$5,'Monthly P&amp;L'!$D22:$AO22)</f>
        <v>159</v>
      </c>
      <c r="Q22" s="380">
        <f>SUMIF('Monthly P&amp;L'!$D$2:$AO$2,Q$5,'Monthly P&amp;L'!$D22:$AO22)</f>
        <v>159</v>
      </c>
    </row>
    <row r="23" spans="1:17" ht="15">
      <c r="B23" s="49" t="s">
        <v>186</v>
      </c>
      <c r="C23" s="85"/>
      <c r="D23" s="164"/>
      <c r="E23" s="164"/>
      <c r="F23" s="398">
        <f>SUMIF('Monthly P&amp;L'!$D$2:$AO$2,F$5,'Monthly P&amp;L'!$D23:$AO23)</f>
        <v>0</v>
      </c>
      <c r="G23" s="206">
        <f>SUMIF('Monthly P&amp;L'!$D$2:$AO$2,G$5,'Monthly P&amp;L'!$D23:$AO23)</f>
        <v>0</v>
      </c>
      <c r="H23" s="206">
        <f>SUMIF('Monthly P&amp;L'!$D$2:$AO$2,H$5,'Monthly P&amp;L'!$D23:$AO23)</f>
        <v>7.4999999999999997E-2</v>
      </c>
      <c r="I23" s="380">
        <f>SUMIF('Monthly P&amp;L'!$D$2:$AO$2,I$5,'Monthly P&amp;L'!$D23:$AO23)</f>
        <v>0</v>
      </c>
      <c r="J23" s="398">
        <f>SUMIF('Monthly P&amp;L'!$D$2:$AO$2,J$5,'Monthly P&amp;L'!$D23:$AO23)</f>
        <v>0</v>
      </c>
      <c r="K23" s="206">
        <f>SUMIF('Monthly P&amp;L'!$D$2:$AO$2,K$5,'Monthly P&amp;L'!$D23:$AO23)</f>
        <v>3</v>
      </c>
      <c r="L23" s="206">
        <f>SUMIF('Monthly P&amp;L'!$D$2:$AO$2,L$5,'Monthly P&amp;L'!$D23:$AO23)</f>
        <v>3</v>
      </c>
      <c r="M23" s="380">
        <f>SUMIF('Monthly P&amp;L'!$D$2:$AO$2,M$5,'Monthly P&amp;L'!$D23:$AO23)</f>
        <v>5</v>
      </c>
      <c r="N23" s="398">
        <f>SUMIF('Monthly P&amp;L'!$D$2:$AO$2,N$5,'Monthly P&amp;L'!$D23:$AO23)</f>
        <v>7</v>
      </c>
      <c r="O23" s="206">
        <f>SUMIF('Monthly P&amp;L'!$D$2:$AO$2,O$5,'Monthly P&amp;L'!$D23:$AO23)</f>
        <v>11</v>
      </c>
      <c r="P23" s="206">
        <f>SUMIF('Monthly P&amp;L'!$D$2:$AO$2,P$5,'Monthly P&amp;L'!$D23:$AO23)</f>
        <v>16</v>
      </c>
      <c r="Q23" s="380">
        <f>SUMIF('Monthly P&amp;L'!$D$2:$AO$2,Q$5,'Monthly P&amp;L'!$D23:$AO23)</f>
        <v>20</v>
      </c>
    </row>
    <row r="24" spans="1:17" ht="15">
      <c r="B24" s="49" t="s">
        <v>185</v>
      </c>
      <c r="C24" s="85"/>
      <c r="D24" s="164"/>
      <c r="E24" s="164"/>
      <c r="F24" s="412">
        <f>'Monthly P&amp;L'!H24</f>
        <v>0</v>
      </c>
      <c r="G24" s="413">
        <f>'Monthly P&amp;L'!K24</f>
        <v>2</v>
      </c>
      <c r="H24" s="413">
        <f>'Monthly P&amp;L'!N24</f>
        <v>8.0749999999999993</v>
      </c>
      <c r="I24" s="414">
        <f>'Monthly P&amp;L'!Q24</f>
        <v>14.074999999999999</v>
      </c>
      <c r="J24" s="413">
        <f>'Monthly P&amp;L'!T24</f>
        <v>53.075000000000003</v>
      </c>
      <c r="K24" s="413">
        <f>'Monthly P&amp;L'!W24</f>
        <v>95.075000000000003</v>
      </c>
      <c r="L24" s="413">
        <f>'Monthly P&amp;L'!Z24</f>
        <v>137.07499999999999</v>
      </c>
      <c r="M24" s="414">
        <f>'Monthly P&amp;L'!AC24</f>
        <v>181.07499999999999</v>
      </c>
      <c r="N24" s="413">
        <f>'Monthly P&amp;L'!AF24</f>
        <v>347.07499999999999</v>
      </c>
      <c r="O24" s="413">
        <f>'Monthly P&amp;L'!AI24</f>
        <v>517.07500000000005</v>
      </c>
      <c r="P24" s="413">
        <f>'Monthly P&amp;L'!AL24</f>
        <v>692.07500000000005</v>
      </c>
      <c r="Q24" s="414">
        <f>'Monthly P&amp;L'!AO24</f>
        <v>871.07500000000005</v>
      </c>
    </row>
    <row r="25" spans="1:17" s="144" customFormat="1" ht="5.0999999999999996" customHeight="1">
      <c r="B25" s="49"/>
      <c r="C25" s="85"/>
      <c r="D25" s="164"/>
      <c r="E25" s="164"/>
      <c r="F25" s="412"/>
      <c r="G25" s="413"/>
      <c r="H25" s="413"/>
      <c r="I25" s="414"/>
      <c r="J25" s="413"/>
      <c r="K25" s="413"/>
      <c r="L25" s="413"/>
      <c r="M25" s="414"/>
      <c r="N25" s="413"/>
      <c r="O25" s="413"/>
      <c r="P25" s="413"/>
      <c r="Q25" s="414"/>
    </row>
    <row r="26" spans="1:17" ht="15">
      <c r="A26" s="5" t="s">
        <v>47</v>
      </c>
      <c r="B26" s="228" t="s">
        <v>193</v>
      </c>
      <c r="C26" s="11"/>
      <c r="D26" s="11"/>
      <c r="E26" s="11"/>
      <c r="F26" s="158"/>
      <c r="G26" s="11"/>
      <c r="H26" s="11"/>
      <c r="I26" s="397"/>
      <c r="J26" s="158"/>
      <c r="K26" s="11"/>
      <c r="L26" s="11"/>
      <c r="M26" s="397"/>
      <c r="N26" s="158"/>
      <c r="O26" s="11"/>
      <c r="P26" s="11"/>
      <c r="Q26" s="397"/>
    </row>
    <row r="27" spans="1:17" ht="5.0999999999999996" customHeight="1">
      <c r="B27" s="46"/>
      <c r="C27" s="113"/>
      <c r="D27" s="160"/>
      <c r="E27" s="160"/>
      <c r="F27" s="17"/>
      <c r="G27" s="160"/>
      <c r="H27" s="160"/>
      <c r="I27" s="402"/>
      <c r="J27" s="17"/>
      <c r="K27" s="160"/>
      <c r="L27" s="160"/>
      <c r="M27" s="402"/>
      <c r="N27" s="17"/>
      <c r="O27" s="160"/>
      <c r="P27" s="160"/>
      <c r="Q27" s="402"/>
    </row>
    <row r="28" spans="1:17" ht="15">
      <c r="A28" s="5" t="s">
        <v>47</v>
      </c>
      <c r="B28" s="235" t="s">
        <v>322</v>
      </c>
      <c r="C28" s="160"/>
      <c r="D28" s="160"/>
      <c r="F28" s="17"/>
      <c r="G28" s="160"/>
      <c r="H28" s="160"/>
      <c r="I28" s="402"/>
      <c r="J28" s="17"/>
      <c r="K28" s="160"/>
      <c r="L28" s="160"/>
      <c r="M28" s="402"/>
      <c r="N28" s="17"/>
      <c r="O28" s="160"/>
      <c r="P28" s="160"/>
      <c r="Q28" s="402"/>
    </row>
    <row r="29" spans="1:17" ht="15">
      <c r="B29" s="49" t="s">
        <v>187</v>
      </c>
      <c r="C29" s="160"/>
      <c r="D29" s="160"/>
      <c r="E29" s="385"/>
      <c r="F29" s="415">
        <f>SUMIF('Monthly P&amp;L'!$D$2:$AO$2,F$5,'Monthly P&amp;L'!$D29:$AO29)</f>
        <v>0</v>
      </c>
      <c r="G29" s="416">
        <f>SUMIF('Monthly P&amp;L'!$D$2:$AO$2,G$5,'Monthly P&amp;L'!$D29:$AO29)</f>
        <v>9000</v>
      </c>
      <c r="H29" s="416">
        <f>SUMIF('Monthly P&amp;L'!$D$2:$AO$2,H$5,'Monthly P&amp;L'!$D29:$AO29)</f>
        <v>235500</v>
      </c>
      <c r="I29" s="417">
        <f>SUMIF('Monthly P&amp;L'!$D$2:$AO$2,I$5,'Monthly P&amp;L'!$D29:$AO29)</f>
        <v>94500</v>
      </c>
      <c r="J29" s="415">
        <f>SUMIF('Monthly P&amp;L'!$D$2:$AO$2,J$5,'Monthly P&amp;L'!$D29:$AO29)</f>
        <v>234000</v>
      </c>
      <c r="K29" s="416">
        <f>SUMIF('Monthly P&amp;L'!$D$2:$AO$2,K$5,'Monthly P&amp;L'!$D29:$AO29)</f>
        <v>234000</v>
      </c>
      <c r="L29" s="416">
        <f>SUMIF('Monthly P&amp;L'!$D$2:$AO$2,L$5,'Monthly P&amp;L'!$D29:$AO29)</f>
        <v>234000</v>
      </c>
      <c r="M29" s="417">
        <f>SUMIF('Monthly P&amp;L'!$D$2:$AO$2,M$5,'Monthly P&amp;L'!$D29:$AO29)</f>
        <v>234000</v>
      </c>
      <c r="N29" s="415">
        <f>SUMIF('Monthly P&amp;L'!$D$2:$AO$2,N$5,'Monthly P&amp;L'!$D29:$AO29)</f>
        <v>945000</v>
      </c>
      <c r="O29" s="416">
        <f>SUMIF('Monthly P&amp;L'!$D$2:$AO$2,O$5,'Monthly P&amp;L'!$D29:$AO29)</f>
        <v>945000</v>
      </c>
      <c r="P29" s="416">
        <f>SUMIF('Monthly P&amp;L'!$D$2:$AO$2,P$5,'Monthly P&amp;L'!$D29:$AO29)</f>
        <v>945000</v>
      </c>
      <c r="Q29" s="417">
        <f>SUMIF('Monthly P&amp;L'!$D$2:$AO$2,Q$5,'Monthly P&amp;L'!$D29:$AO29)</f>
        <v>945000</v>
      </c>
    </row>
    <row r="30" spans="1:17" ht="15">
      <c r="B30" s="49" t="s">
        <v>189</v>
      </c>
      <c r="C30" s="160"/>
      <c r="D30" s="160"/>
      <c r="E30" s="385"/>
      <c r="F30" s="261">
        <f>SUMIF('Monthly P&amp;L'!$D$2:$AO$2,F$5,'Monthly P&amp;L'!$D30:$AO30)</f>
        <v>0</v>
      </c>
      <c r="G30" s="262">
        <f>SUMIF('Monthly P&amp;L'!$D$2:$AO$2,G$5,'Monthly P&amp;L'!$D30:$AO30)</f>
        <v>4000</v>
      </c>
      <c r="H30" s="262">
        <f>SUMIF('Monthly P&amp;L'!$D$2:$AO$2,H$5,'Monthly P&amp;L'!$D30:$AO30)</f>
        <v>52000</v>
      </c>
      <c r="I30" s="403">
        <f>SUMIF('Monthly P&amp;L'!$D$2:$AO$2,I$5,'Monthly P&amp;L'!$D30:$AO30)</f>
        <v>64000</v>
      </c>
      <c r="J30" s="261">
        <f>SUMIF('Monthly P&amp;L'!$D$2:$AO$2,J$5,'Monthly P&amp;L'!$D30:$AO30)</f>
        <v>156000</v>
      </c>
      <c r="K30" s="262">
        <f>SUMIF('Monthly P&amp;L'!$D$2:$AO$2,K$5,'Monthly P&amp;L'!$D30:$AO30)</f>
        <v>156000</v>
      </c>
      <c r="L30" s="262">
        <f>SUMIF('Monthly P&amp;L'!$D$2:$AO$2,L$5,'Monthly P&amp;L'!$D30:$AO30)</f>
        <v>156000</v>
      </c>
      <c r="M30" s="403">
        <f>SUMIF('Monthly P&amp;L'!$D$2:$AO$2,M$5,'Monthly P&amp;L'!$D30:$AO30)</f>
        <v>156000</v>
      </c>
      <c r="N30" s="261">
        <f>SUMIF('Monthly P&amp;L'!$D$2:$AO$2,N$5,'Monthly P&amp;L'!$D30:$AO30)</f>
        <v>420000</v>
      </c>
      <c r="O30" s="262">
        <f>SUMIF('Monthly P&amp;L'!$D$2:$AO$2,O$5,'Monthly P&amp;L'!$D30:$AO30)</f>
        <v>420000</v>
      </c>
      <c r="P30" s="262">
        <f>SUMIF('Monthly P&amp;L'!$D$2:$AO$2,P$5,'Monthly P&amp;L'!$D30:$AO30)</f>
        <v>420000</v>
      </c>
      <c r="Q30" s="403">
        <f>SUMIF('Monthly P&amp;L'!$D$2:$AO$2,Q$5,'Monthly P&amp;L'!$D30:$AO30)</f>
        <v>420000</v>
      </c>
    </row>
    <row r="31" spans="1:17" ht="15">
      <c r="B31" s="49" t="s">
        <v>188</v>
      </c>
      <c r="C31" s="160"/>
      <c r="D31" s="160"/>
      <c r="E31" s="385"/>
      <c r="F31" s="261">
        <f>SUMIF('Monthly P&amp;L'!$D$2:$AO$2,F$5,'Monthly P&amp;L'!$D31:$AO31)</f>
        <v>6665.8525</v>
      </c>
      <c r="G31" s="262">
        <f>SUMIF('Monthly P&amp;L'!$D$2:$AO$2,G$5,'Monthly P&amp;L'!$D31:$AO31)</f>
        <v>6915.8525</v>
      </c>
      <c r="H31" s="262">
        <f>SUMIF('Monthly P&amp;L'!$D$2:$AO$2,H$5,'Monthly P&amp;L'!$D31:$AO31)</f>
        <v>19249.185833333337</v>
      </c>
      <c r="I31" s="403">
        <f>SUMIF('Monthly P&amp;L'!$D$2:$AO$2,I$5,'Monthly P&amp;L'!$D31:$AO31)</f>
        <v>33540.852500000001</v>
      </c>
      <c r="J31" s="261">
        <f>SUMIF('Monthly P&amp;L'!$D$2:$AO$2,J$5,'Monthly P&amp;L'!$D31:$AO31)</f>
        <v>47915.852500000001</v>
      </c>
      <c r="K31" s="262">
        <f>SUMIF('Monthly P&amp;L'!$D$2:$AO$2,K$5,'Monthly P&amp;L'!$D31:$AO31)</f>
        <v>67415.852500000008</v>
      </c>
      <c r="L31" s="262">
        <f>SUMIF('Monthly P&amp;L'!$D$2:$AO$2,L$5,'Monthly P&amp;L'!$D31:$AO31)</f>
        <v>86915.852500000008</v>
      </c>
      <c r="M31" s="403">
        <f>SUMIF('Monthly P&amp;L'!$D$2:$AO$2,M$5,'Monthly P&amp;L'!$D31:$AO31)</f>
        <v>106415.85250000001</v>
      </c>
      <c r="N31" s="261">
        <f>SUMIF('Monthly P&amp;L'!$D$2:$AO$2,N$5,'Monthly P&amp;L'!$D31:$AO31)</f>
        <v>165415.85250000001</v>
      </c>
      <c r="O31" s="262">
        <f>SUMIF('Monthly P&amp;L'!$D$2:$AO$2,O$5,'Monthly P&amp;L'!$D31:$AO31)</f>
        <v>244165.85250000004</v>
      </c>
      <c r="P31" s="262">
        <f>SUMIF('Monthly P&amp;L'!$D$2:$AO$2,P$5,'Monthly P&amp;L'!$D31:$AO31)</f>
        <v>322592.36250000005</v>
      </c>
      <c r="Q31" s="403">
        <f>SUMIF('Monthly P&amp;L'!$D$2:$AO$2,Q$5,'Monthly P&amp;L'!$D31:$AO31)</f>
        <v>401125.10250000004</v>
      </c>
    </row>
    <row r="32" spans="1:17" ht="15">
      <c r="A32" s="5" t="s">
        <v>47</v>
      </c>
      <c r="B32" s="236" t="s">
        <v>323</v>
      </c>
      <c r="C32" s="19"/>
      <c r="D32" s="19"/>
      <c r="E32" s="202"/>
      <c r="F32" s="421">
        <f t="shared" ref="F32:Q32" si="2">SUM(F29:F31)</f>
        <v>6665.8525</v>
      </c>
      <c r="G32" s="422">
        <f t="shared" si="2"/>
        <v>19915.852500000001</v>
      </c>
      <c r="H32" s="422">
        <f t="shared" si="2"/>
        <v>306749.18583333335</v>
      </c>
      <c r="I32" s="423">
        <f t="shared" si="2"/>
        <v>192040.85250000001</v>
      </c>
      <c r="J32" s="421">
        <f t="shared" si="2"/>
        <v>437915.85249999998</v>
      </c>
      <c r="K32" s="422">
        <f t="shared" si="2"/>
        <v>457415.85250000004</v>
      </c>
      <c r="L32" s="422">
        <f t="shared" si="2"/>
        <v>476915.85250000004</v>
      </c>
      <c r="M32" s="423">
        <f t="shared" si="2"/>
        <v>496415.85250000004</v>
      </c>
      <c r="N32" s="421">
        <f t="shared" si="2"/>
        <v>1530415.8525</v>
      </c>
      <c r="O32" s="422">
        <f t="shared" si="2"/>
        <v>1609165.8525</v>
      </c>
      <c r="P32" s="422">
        <f t="shared" si="2"/>
        <v>1687592.3625</v>
      </c>
      <c r="Q32" s="423">
        <f t="shared" si="2"/>
        <v>1766125.1025</v>
      </c>
    </row>
    <row r="33" spans="1:17" ht="15">
      <c r="A33" s="5" t="s">
        <v>47</v>
      </c>
      <c r="B33" s="235" t="s">
        <v>316</v>
      </c>
      <c r="C33" s="160"/>
      <c r="D33" s="160"/>
      <c r="F33" s="17"/>
      <c r="G33" s="160"/>
      <c r="H33" s="160"/>
      <c r="I33" s="402"/>
      <c r="J33" s="17"/>
      <c r="K33" s="160"/>
      <c r="L33" s="160"/>
      <c r="M33" s="402"/>
      <c r="N33" s="17"/>
      <c r="O33" s="160"/>
      <c r="P33" s="160"/>
      <c r="Q33" s="402"/>
    </row>
    <row r="34" spans="1:17" ht="15">
      <c r="B34" s="49" t="s">
        <v>190</v>
      </c>
      <c r="C34" s="20"/>
      <c r="D34" s="386"/>
      <c r="E34" s="387"/>
      <c r="F34" s="415">
        <f>SUMIF('Monthly P&amp;L'!$D$2:$AO$2,F$5,'Monthly P&amp;L'!$D35:$AO35)</f>
        <v>0</v>
      </c>
      <c r="G34" s="416">
        <f>SUMIF('Monthly P&amp;L'!$D$2:$AO$2,G$5,'Monthly P&amp;L'!$D35:$AO35)</f>
        <v>99</v>
      </c>
      <c r="H34" s="416">
        <f>SUMIF('Monthly P&amp;L'!$D$2:$AO$2,H$5,'Monthly P&amp;L'!$D35:$AO35)</f>
        <v>1488.7125000000001</v>
      </c>
      <c r="I34" s="417">
        <f>SUMIF('Monthly P&amp;L'!$D$2:$AO$2,I$5,'Monthly P&amp;L'!$D35:$AO35)</f>
        <v>3289.2749999999996</v>
      </c>
      <c r="J34" s="415">
        <f>SUMIF('Monthly P&amp;L'!$D$2:$AO$2,J$5,'Monthly P&amp;L'!$D35:$AO35)</f>
        <v>15008.025000000001</v>
      </c>
      <c r="K34" s="416">
        <f>SUMIF('Monthly P&amp;L'!$D$2:$AO$2,K$5,'Monthly P&amp;L'!$D35:$AO35)</f>
        <v>33111.525000000001</v>
      </c>
      <c r="L34" s="416">
        <f>SUMIF('Monthly P&amp;L'!$D$2:$AO$2,L$5,'Monthly P&amp;L'!$D35:$AO35)</f>
        <v>51885.524999999994</v>
      </c>
      <c r="M34" s="417">
        <f>SUMIF('Monthly P&amp;L'!$D$2:$AO$2,M$5,'Monthly P&amp;L'!$D35:$AO35)</f>
        <v>70957.524999999994</v>
      </c>
      <c r="N34" s="415">
        <f>SUMIF('Monthly P&amp;L'!$D$2:$AO$2,N$5,'Monthly P&amp;L'!$D35:$AO35)</f>
        <v>157453.77499999999</v>
      </c>
      <c r="O34" s="416">
        <f>SUMIF('Monthly P&amp;L'!$D$2:$AO$2,O$5,'Monthly P&amp;L'!$D35:$AO35)</f>
        <v>257749.77500000002</v>
      </c>
      <c r="P34" s="416">
        <f>SUMIF('Monthly P&amp;L'!$D$2:$AO$2,P$5,'Monthly P&amp;L'!$D35:$AO35)</f>
        <v>360732.27500000002</v>
      </c>
      <c r="Q34" s="417">
        <f>SUMIF('Monthly P&amp;L'!$D$2:$AO$2,Q$5,'Monthly P&amp;L'!$D35:$AO35)</f>
        <v>466401.27500000002</v>
      </c>
    </row>
    <row r="35" spans="1:17" ht="15">
      <c r="A35" s="5" t="s">
        <v>47</v>
      </c>
      <c r="B35" s="236" t="s">
        <v>317</v>
      </c>
      <c r="C35" s="19"/>
      <c r="D35" s="19"/>
      <c r="E35" s="202"/>
      <c r="F35" s="421">
        <f t="shared" ref="F35:Q35" si="3">SUM(F34:F34)</f>
        <v>0</v>
      </c>
      <c r="G35" s="422">
        <f t="shared" si="3"/>
        <v>99</v>
      </c>
      <c r="H35" s="422">
        <f t="shared" si="3"/>
        <v>1488.7125000000001</v>
      </c>
      <c r="I35" s="423">
        <f t="shared" si="3"/>
        <v>3289.2749999999996</v>
      </c>
      <c r="J35" s="421">
        <f t="shared" si="3"/>
        <v>15008.025000000001</v>
      </c>
      <c r="K35" s="422">
        <f t="shared" si="3"/>
        <v>33111.525000000001</v>
      </c>
      <c r="L35" s="422">
        <f t="shared" si="3"/>
        <v>51885.524999999994</v>
      </c>
      <c r="M35" s="423">
        <f t="shared" si="3"/>
        <v>70957.524999999994</v>
      </c>
      <c r="N35" s="421">
        <f t="shared" si="3"/>
        <v>157453.77499999999</v>
      </c>
      <c r="O35" s="422">
        <f t="shared" si="3"/>
        <v>257749.77500000002</v>
      </c>
      <c r="P35" s="422">
        <f t="shared" si="3"/>
        <v>360732.27500000002</v>
      </c>
      <c r="Q35" s="423">
        <f t="shared" si="3"/>
        <v>466401.27500000002</v>
      </c>
    </row>
    <row r="36" spans="1:17" ht="5.0999999999999996" customHeight="1">
      <c r="B36" s="12"/>
      <c r="C36" s="160"/>
      <c r="D36" s="160"/>
      <c r="E36" s="200"/>
      <c r="F36" s="17"/>
      <c r="G36" s="160"/>
      <c r="H36" s="160"/>
      <c r="I36" s="402"/>
      <c r="J36" s="17"/>
      <c r="K36" s="160"/>
      <c r="L36" s="160"/>
      <c r="M36" s="402"/>
      <c r="N36" s="17"/>
      <c r="O36" s="160"/>
      <c r="P36" s="160"/>
      <c r="Q36" s="402"/>
    </row>
    <row r="37" spans="1:17" s="144" customFormat="1" ht="13.35" customHeight="1">
      <c r="B37"/>
      <c r="E37" s="200"/>
      <c r="F37" s="261"/>
      <c r="G37" s="262"/>
      <c r="H37" s="262"/>
      <c r="I37" s="403"/>
      <c r="J37" s="261"/>
      <c r="K37" s="262"/>
      <c r="L37" s="262"/>
      <c r="M37" s="403"/>
      <c r="N37" s="261"/>
      <c r="O37" s="262"/>
      <c r="P37" s="262"/>
      <c r="Q37" s="403"/>
    </row>
    <row r="38" spans="1:17" s="144" customFormat="1" ht="15">
      <c r="A38" s="144" t="s">
        <v>47</v>
      </c>
      <c r="B38" s="383" t="s">
        <v>91</v>
      </c>
      <c r="C38" s="424"/>
      <c r="D38" s="424"/>
      <c r="E38" s="425"/>
      <c r="F38" s="426">
        <f t="shared" ref="F38:Q38" si="4">SUM(F35,F32)</f>
        <v>6665.8525</v>
      </c>
      <c r="G38" s="427">
        <f t="shared" si="4"/>
        <v>20014.852500000001</v>
      </c>
      <c r="H38" s="427">
        <f t="shared" si="4"/>
        <v>308237.89833333337</v>
      </c>
      <c r="I38" s="428">
        <f t="shared" si="4"/>
        <v>195330.1275</v>
      </c>
      <c r="J38" s="426">
        <f t="shared" si="4"/>
        <v>452923.8775</v>
      </c>
      <c r="K38" s="427">
        <f t="shared" si="4"/>
        <v>490527.37750000006</v>
      </c>
      <c r="L38" s="427">
        <f t="shared" si="4"/>
        <v>528801.37750000006</v>
      </c>
      <c r="M38" s="428">
        <f t="shared" si="4"/>
        <v>567373.37750000006</v>
      </c>
      <c r="N38" s="426">
        <f t="shared" si="4"/>
        <v>1687869.6274999999</v>
      </c>
      <c r="O38" s="427">
        <f t="shared" si="4"/>
        <v>1866915.6274999999</v>
      </c>
      <c r="P38" s="427">
        <f t="shared" si="4"/>
        <v>2048324.6375000002</v>
      </c>
      <c r="Q38" s="428">
        <f t="shared" si="4"/>
        <v>2232526.3774999999</v>
      </c>
    </row>
    <row r="39" spans="1:17" s="144" customFormat="1" ht="13.35" customHeight="1">
      <c r="B39"/>
      <c r="E39" s="200"/>
      <c r="F39" s="261"/>
      <c r="G39" s="262"/>
      <c r="H39" s="262"/>
      <c r="I39" s="403"/>
      <c r="J39" s="261"/>
      <c r="K39" s="262"/>
      <c r="L39" s="262"/>
      <c r="M39" s="403"/>
      <c r="N39" s="261"/>
      <c r="O39" s="262"/>
      <c r="P39" s="262"/>
      <c r="Q39" s="403"/>
    </row>
    <row r="40" spans="1:17" s="144" customFormat="1" ht="15">
      <c r="A40" s="144" t="s">
        <v>47</v>
      </c>
      <c r="B40" s="228" t="s">
        <v>312</v>
      </c>
      <c r="C40" s="11"/>
      <c r="D40" s="11"/>
      <c r="E40" s="11"/>
      <c r="F40" s="158"/>
      <c r="G40" s="11"/>
      <c r="H40" s="11"/>
      <c r="I40" s="397"/>
      <c r="J40" s="158"/>
      <c r="K40" s="11"/>
      <c r="L40" s="11"/>
      <c r="M40" s="397"/>
      <c r="N40" s="158"/>
      <c r="O40" s="11"/>
      <c r="P40" s="11"/>
      <c r="Q40" s="397"/>
    </row>
    <row r="41" spans="1:17" s="144" customFormat="1" ht="13.35" customHeight="1">
      <c r="B41" s="49" t="s">
        <v>319</v>
      </c>
      <c r="E41" s="200"/>
      <c r="F41" s="406">
        <f>SUMIF('Monthly P&amp;L'!$D$2:$AO$2,F$5,'Monthly P&amp;L'!$D42:$AO42)</f>
        <v>0</v>
      </c>
      <c r="G41" s="394">
        <f>SUMIF('Monthly P&amp;L'!$D$2:$AO$2,G$5,'Monthly P&amp;L'!$D42:$AO42)</f>
        <v>-2000</v>
      </c>
      <c r="H41" s="394">
        <f>SUMIF('Monthly P&amp;L'!$D$2:$AO$2,H$5,'Monthly P&amp;L'!$D42:$AO42)</f>
        <v>-26000</v>
      </c>
      <c r="I41" s="407">
        <f>SUMIF('Monthly P&amp;L'!$D$2:$AO$2,I$5,'Monthly P&amp;L'!$D42:$AO42)</f>
        <v>-32000</v>
      </c>
      <c r="J41" s="406">
        <f>SUMIF('Monthly P&amp;L'!$D$2:$AO$2,J$5,'Monthly P&amp;L'!$D42:$AO42)</f>
        <v>-78000</v>
      </c>
      <c r="K41" s="394">
        <f>SUMIF('Monthly P&amp;L'!$D$2:$AO$2,K$5,'Monthly P&amp;L'!$D42:$AO42)</f>
        <v>-78000</v>
      </c>
      <c r="L41" s="394">
        <f>SUMIF('Monthly P&amp;L'!$D$2:$AO$2,L$5,'Monthly P&amp;L'!$D42:$AO42)</f>
        <v>-78000</v>
      </c>
      <c r="M41" s="407">
        <f>SUMIF('Monthly P&amp;L'!$D$2:$AO$2,M$5,'Monthly P&amp;L'!$D42:$AO42)</f>
        <v>-78000</v>
      </c>
      <c r="N41" s="406">
        <f>SUMIF('Monthly P&amp;L'!$D$2:$AO$2,N$5,'Monthly P&amp;L'!$D42:$AO42)</f>
        <v>-210000</v>
      </c>
      <c r="O41" s="394">
        <f>SUMIF('Monthly P&amp;L'!$D$2:$AO$2,O$5,'Monthly P&amp;L'!$D42:$AO42)</f>
        <v>-210000</v>
      </c>
      <c r="P41" s="394">
        <f>SUMIF('Monthly P&amp;L'!$D$2:$AO$2,P$5,'Monthly P&amp;L'!$D42:$AO42)</f>
        <v>-210000</v>
      </c>
      <c r="Q41" s="407">
        <f>SUMIF('Monthly P&amp;L'!$D$2:$AO$2,Q$5,'Monthly P&amp;L'!$D42:$AO42)</f>
        <v>-210000</v>
      </c>
    </row>
    <row r="42" spans="1:17" s="144" customFormat="1" ht="13.35" customHeight="1">
      <c r="B42" s="570" t="s">
        <v>313</v>
      </c>
      <c r="C42" s="571"/>
      <c r="D42" s="571"/>
      <c r="E42" s="572"/>
      <c r="F42" s="573">
        <f t="shared" ref="F42:Q42" si="5">SUM(F41)</f>
        <v>0</v>
      </c>
      <c r="G42" s="574">
        <f t="shared" si="5"/>
        <v>-2000</v>
      </c>
      <c r="H42" s="574">
        <f t="shared" si="5"/>
        <v>-26000</v>
      </c>
      <c r="I42" s="575">
        <f t="shared" si="5"/>
        <v>-32000</v>
      </c>
      <c r="J42" s="573">
        <f t="shared" si="5"/>
        <v>-78000</v>
      </c>
      <c r="K42" s="574">
        <f t="shared" si="5"/>
        <v>-78000</v>
      </c>
      <c r="L42" s="574">
        <f t="shared" si="5"/>
        <v>-78000</v>
      </c>
      <c r="M42" s="575">
        <f t="shared" si="5"/>
        <v>-78000</v>
      </c>
      <c r="N42" s="573">
        <f t="shared" si="5"/>
        <v>-210000</v>
      </c>
      <c r="O42" s="574">
        <f t="shared" si="5"/>
        <v>-210000</v>
      </c>
      <c r="P42" s="574">
        <f t="shared" si="5"/>
        <v>-210000</v>
      </c>
      <c r="Q42" s="575">
        <f t="shared" si="5"/>
        <v>-210000</v>
      </c>
    </row>
    <row r="43" spans="1:17" s="144" customFormat="1" ht="13.35" customHeight="1">
      <c r="B43"/>
      <c r="E43" s="200"/>
      <c r="F43" s="261"/>
      <c r="G43" s="262"/>
      <c r="H43" s="262"/>
      <c r="I43" s="403"/>
      <c r="J43" s="261"/>
      <c r="K43" s="262"/>
      <c r="L43" s="262"/>
      <c r="M43" s="403"/>
      <c r="N43" s="261"/>
      <c r="O43" s="262"/>
      <c r="P43" s="262"/>
      <c r="Q43" s="403"/>
    </row>
    <row r="44" spans="1:17" ht="13.35" customHeight="1">
      <c r="A44" s="5" t="s">
        <v>47</v>
      </c>
      <c r="B44" s="18" t="s">
        <v>35</v>
      </c>
      <c r="C44" s="18"/>
      <c r="D44" s="18"/>
      <c r="E44" s="203"/>
      <c r="F44" s="404"/>
      <c r="G44" s="393"/>
      <c r="H44" s="393"/>
      <c r="I44" s="405"/>
      <c r="J44" s="404"/>
      <c r="K44" s="393"/>
      <c r="L44" s="393"/>
      <c r="M44" s="405"/>
      <c r="N44" s="404"/>
      <c r="O44" s="393"/>
      <c r="P44" s="393"/>
      <c r="Q44" s="405"/>
    </row>
    <row r="45" spans="1:17" ht="13.35" customHeight="1">
      <c r="B45" s="12" t="str">
        <f>'Monthly P&amp;L'!B56</f>
        <v>Executive Team</v>
      </c>
      <c r="D45" s="13"/>
      <c r="E45" s="204"/>
      <c r="F45" s="406">
        <f>SUMIF('Monthly P&amp;L'!$D$2:$AO$2,F$5,'Monthly P&amp;L'!$D56:$AO56)</f>
        <v>0</v>
      </c>
      <c r="G45" s="394">
        <f>SUMIF('Monthly P&amp;L'!$D$2:$AO$2,G$5,'Monthly P&amp;L'!$D56:$AO56)</f>
        <v>-21666.666666666668</v>
      </c>
      <c r="H45" s="394">
        <f>SUMIF('Monthly P&amp;L'!$D$2:$AO$2,H$5,'Monthly P&amp;L'!$D56:$AO56)</f>
        <v>-43333.333333333336</v>
      </c>
      <c r="I45" s="407">
        <f>SUMIF('Monthly P&amp;L'!$D$2:$AO$2,I$5,'Monthly P&amp;L'!$D56:$AO56)</f>
        <v>-65000</v>
      </c>
      <c r="J45" s="406">
        <f>SUMIF('Monthly P&amp;L'!$D$2:$AO$2,J$5,'Monthly P&amp;L'!$D56:$AO56)</f>
        <v>-102375</v>
      </c>
      <c r="K45" s="394">
        <f>SUMIF('Monthly P&amp;L'!$D$2:$AO$2,K$5,'Monthly P&amp;L'!$D56:$AO56)</f>
        <v>-102375</v>
      </c>
      <c r="L45" s="394">
        <f>SUMIF('Monthly P&amp;L'!$D$2:$AO$2,L$5,'Monthly P&amp;L'!$D56:$AO56)</f>
        <v>-102375</v>
      </c>
      <c r="M45" s="407">
        <f>SUMIF('Monthly P&amp;L'!$D$2:$AO$2,M$5,'Monthly P&amp;L'!$D56:$AO56)</f>
        <v>-102375</v>
      </c>
      <c r="N45" s="406">
        <f>SUMIF('Monthly P&amp;L'!$D$2:$AO$2,N$5,'Monthly P&amp;L'!$D56:$AO56)</f>
        <v>-107493.75</v>
      </c>
      <c r="O45" s="394">
        <f>SUMIF('Monthly P&amp;L'!$D$2:$AO$2,O$5,'Monthly P&amp;L'!$D56:$AO56)</f>
        <v>-107493.75</v>
      </c>
      <c r="P45" s="394">
        <f>SUMIF('Monthly P&amp;L'!$D$2:$AO$2,P$5,'Monthly P&amp;L'!$D56:$AO56)</f>
        <v>-107493.75</v>
      </c>
      <c r="Q45" s="407">
        <f>SUMIF('Monthly P&amp;L'!$D$2:$AO$2,Q$5,'Monthly P&amp;L'!$D56:$AO56)</f>
        <v>-107493.75</v>
      </c>
    </row>
    <row r="46" spans="1:17" ht="13.35" customHeight="1">
      <c r="B46" s="12" t="str">
        <f>'Monthly P&amp;L'!B57</f>
        <v>Business Development and Marketing Teams</v>
      </c>
      <c r="D46" s="13"/>
      <c r="E46" s="204"/>
      <c r="F46" s="406">
        <f>SUMIF('Monthly P&amp;L'!$D$2:$AO$2,F$5,'Monthly P&amp;L'!$D57:$AO57)</f>
        <v>-40000</v>
      </c>
      <c r="G46" s="394">
        <f>SUMIF('Monthly P&amp;L'!$D$2:$AO$2,G$5,'Monthly P&amp;L'!$D57:$AO57)</f>
        <v>-40000</v>
      </c>
      <c r="H46" s="394">
        <f>SUMIF('Monthly P&amp;L'!$D$2:$AO$2,H$5,'Monthly P&amp;L'!$D57:$AO57)</f>
        <v>-47083.333333333336</v>
      </c>
      <c r="I46" s="407">
        <f>SUMIF('Monthly P&amp;L'!$D$2:$AO$2,I$5,'Monthly P&amp;L'!$D57:$AO57)</f>
        <v>-61250</v>
      </c>
      <c r="J46" s="406">
        <f>SUMIF('Monthly P&amp;L'!$D$2:$AO$2,J$5,'Monthly P&amp;L'!$D57:$AO57)</f>
        <v>-105000</v>
      </c>
      <c r="K46" s="394">
        <f>SUMIF('Monthly P&amp;L'!$D$2:$AO$2,K$5,'Monthly P&amp;L'!$D57:$AO57)</f>
        <v>-105000</v>
      </c>
      <c r="L46" s="394">
        <f>SUMIF('Monthly P&amp;L'!$D$2:$AO$2,L$5,'Monthly P&amp;L'!$D57:$AO57)</f>
        <v>-105000</v>
      </c>
      <c r="M46" s="407">
        <f>SUMIF('Monthly P&amp;L'!$D$2:$AO$2,M$5,'Monthly P&amp;L'!$D57:$AO57)</f>
        <v>-105000</v>
      </c>
      <c r="N46" s="406">
        <f>SUMIF('Monthly P&amp;L'!$D$2:$AO$2,N$5,'Monthly P&amp;L'!$D57:$AO57)</f>
        <v>-203043.75</v>
      </c>
      <c r="O46" s="394">
        <f>SUMIF('Monthly P&amp;L'!$D$2:$AO$2,O$5,'Monthly P&amp;L'!$D57:$AO57)</f>
        <v>-218203.125</v>
      </c>
      <c r="P46" s="394">
        <f>SUMIF('Monthly P&amp;L'!$D$2:$AO$2,P$5,'Monthly P&amp;L'!$D57:$AO57)</f>
        <v>-228309.375</v>
      </c>
      <c r="Q46" s="407">
        <f>SUMIF('Monthly P&amp;L'!$D$2:$AO$2,Q$5,'Monthly P&amp;L'!$D57:$AO57)</f>
        <v>-238415.625</v>
      </c>
    </row>
    <row r="47" spans="1:17" ht="13.35" customHeight="1">
      <c r="B47" s="12" t="str">
        <f>'Monthly P&amp;L'!B58</f>
        <v>Lending Team: Finance, Legal &amp; Farm Stewards</v>
      </c>
      <c r="D47" s="13"/>
      <c r="E47" s="204"/>
      <c r="F47" s="406">
        <f>SUMIF('Monthly P&amp;L'!$D$2:$AO$2,F$5,'Monthly P&amp;L'!$D58:$AO58)</f>
        <v>-62500</v>
      </c>
      <c r="G47" s="394">
        <f>SUMIF('Monthly P&amp;L'!$D$2:$AO$2,G$5,'Monthly P&amp;L'!$D58:$AO58)</f>
        <v>-62500</v>
      </c>
      <c r="H47" s="394">
        <f>SUMIF('Monthly P&amp;L'!$D$2:$AO$2,H$5,'Monthly P&amp;L'!$D58:$AO58)</f>
        <v>-70833.333333333328</v>
      </c>
      <c r="I47" s="407">
        <f>SUMIF('Monthly P&amp;L'!$D$2:$AO$2,I$5,'Monthly P&amp;L'!$D58:$AO58)</f>
        <v>-87500</v>
      </c>
      <c r="J47" s="406">
        <f>SUMIF('Monthly P&amp;L'!$D$2:$AO$2,J$5,'Monthly P&amp;L'!$D58:$AO58)</f>
        <v>-145687.5</v>
      </c>
      <c r="K47" s="394">
        <f>SUMIF('Monthly P&amp;L'!$D$2:$AO$2,K$5,'Monthly P&amp;L'!$D58:$AO58)</f>
        <v>-145687.5</v>
      </c>
      <c r="L47" s="394">
        <f>SUMIF('Monthly P&amp;L'!$D$2:$AO$2,L$5,'Monthly P&amp;L'!$D58:$AO58)</f>
        <v>-145687.5</v>
      </c>
      <c r="M47" s="407">
        <f>SUMIF('Monthly P&amp;L'!$D$2:$AO$2,M$5,'Monthly P&amp;L'!$D58:$AO58)</f>
        <v>-145687.5</v>
      </c>
      <c r="N47" s="406">
        <f>SUMIF('Monthly P&amp;L'!$D$2:$AO$2,N$5,'Monthly P&amp;L'!$D58:$AO58)</f>
        <v>-260465.625</v>
      </c>
      <c r="O47" s="394">
        <f>SUMIF('Monthly P&amp;L'!$D$2:$AO$2,O$5,'Monthly P&amp;L'!$D58:$AO58)</f>
        <v>-260465.625</v>
      </c>
      <c r="P47" s="394">
        <f>SUMIF('Monthly P&amp;L'!$D$2:$AO$2,P$5,'Monthly P&amp;L'!$D58:$AO58)</f>
        <v>-260465.625</v>
      </c>
      <c r="Q47" s="407">
        <f>SUMIF('Monthly P&amp;L'!$D$2:$AO$2,Q$5,'Monthly P&amp;L'!$D58:$AO58)</f>
        <v>-260465.625</v>
      </c>
    </row>
    <row r="48" spans="1:17" ht="13.35" customHeight="1">
      <c r="B48" s="12" t="str">
        <f>'Monthly P&amp;L'!B59</f>
        <v>SaaS / Technology Team</v>
      </c>
      <c r="D48" s="13"/>
      <c r="E48" s="204"/>
      <c r="F48" s="406">
        <f>SUMIF('Monthly P&amp;L'!$D$2:$AO$2,F$5,'Monthly P&amp;L'!$D59:$AO59)</f>
        <v>-77083.333333333343</v>
      </c>
      <c r="G48" s="394">
        <f>SUMIF('Monthly P&amp;L'!$D$2:$AO$2,G$5,'Monthly P&amp;L'!$D59:$AO59)</f>
        <v>-143750</v>
      </c>
      <c r="H48" s="394">
        <f>SUMIF('Monthly P&amp;L'!$D$2:$AO$2,H$5,'Monthly P&amp;L'!$D59:$AO59)</f>
        <v>-176250</v>
      </c>
      <c r="I48" s="407">
        <f>SUMIF('Monthly P&amp;L'!$D$2:$AO$2,I$5,'Monthly P&amp;L'!$D59:$AO59)</f>
        <v>-176250</v>
      </c>
      <c r="J48" s="406">
        <f>SUMIF('Monthly P&amp;L'!$D$2:$AO$2,J$5,'Monthly P&amp;L'!$D59:$AO59)</f>
        <v>-185062.5</v>
      </c>
      <c r="K48" s="394">
        <f>SUMIF('Monthly P&amp;L'!$D$2:$AO$2,K$5,'Monthly P&amp;L'!$D59:$AO59)</f>
        <v>-192937.5</v>
      </c>
      <c r="L48" s="394">
        <f>SUMIF('Monthly P&amp;L'!$D$2:$AO$2,L$5,'Monthly P&amp;L'!$D59:$AO59)</f>
        <v>-212625</v>
      </c>
      <c r="M48" s="407">
        <f>SUMIF('Monthly P&amp;L'!$D$2:$AO$2,M$5,'Monthly P&amp;L'!$D59:$AO59)</f>
        <v>-212625</v>
      </c>
      <c r="N48" s="406">
        <f>SUMIF('Monthly P&amp;L'!$D$2:$AO$2,N$5,'Monthly P&amp;L'!$D59:$AO59)</f>
        <v>-241171.875</v>
      </c>
      <c r="O48" s="394">
        <f>SUMIF('Monthly P&amp;L'!$D$2:$AO$2,O$5,'Monthly P&amp;L'!$D59:$AO59)</f>
        <v>-270112.5</v>
      </c>
      <c r="P48" s="394">
        <f>SUMIF('Monthly P&amp;L'!$D$2:$AO$2,P$5,'Monthly P&amp;L'!$D59:$AO59)</f>
        <v>-297675</v>
      </c>
      <c r="Q48" s="407">
        <f>SUMIF('Monthly P&amp;L'!$D$2:$AO$2,Q$5,'Monthly P&amp;L'!$D59:$AO59)</f>
        <v>-326615.625</v>
      </c>
    </row>
    <row r="49" spans="1:17" s="144" customFormat="1" ht="13.35" customHeight="1">
      <c r="B49" s="12" t="str">
        <f>'Monthly P&amp;L'!B60</f>
        <v>Operations &amp; Administrative Team</v>
      </c>
      <c r="D49" s="13"/>
      <c r="E49" s="204"/>
      <c r="F49" s="406">
        <f>SUMIF('Monthly P&amp;L'!$D$2:$AO$2,F$5,'Monthly P&amp;L'!$D60:$AO60)</f>
        <v>-12500</v>
      </c>
      <c r="G49" s="394">
        <f>SUMIF('Monthly P&amp;L'!$D$2:$AO$2,G$5,'Monthly P&amp;L'!$D60:$AO60)</f>
        <v>-54500</v>
      </c>
      <c r="H49" s="394">
        <f>SUMIF('Monthly P&amp;L'!$D$2:$AO$2,H$5,'Monthly P&amp;L'!$D60:$AO60)</f>
        <v>-105833.33333333334</v>
      </c>
      <c r="I49" s="407">
        <f>SUMIF('Monthly P&amp;L'!$D$2:$AO$2,I$5,'Monthly P&amp;L'!$D60:$AO60)</f>
        <v>-139500</v>
      </c>
      <c r="J49" s="406">
        <f>SUMIF('Monthly P&amp;L'!$D$2:$AO$2,J$5,'Monthly P&amp;L'!$D60:$AO60)</f>
        <v>-159600</v>
      </c>
      <c r="K49" s="394">
        <f>SUMIF('Monthly P&amp;L'!$D$2:$AO$2,K$5,'Monthly P&amp;L'!$D60:$AO60)</f>
        <v>-159600</v>
      </c>
      <c r="L49" s="394">
        <f>SUMIF('Monthly P&amp;L'!$D$2:$AO$2,L$5,'Monthly P&amp;L'!$D60:$AO60)</f>
        <v>-172725</v>
      </c>
      <c r="M49" s="407">
        <f>SUMIF('Monthly P&amp;L'!$D$2:$AO$2,M$5,'Monthly P&amp;L'!$D60:$AO60)</f>
        <v>-172725</v>
      </c>
      <c r="N49" s="406">
        <f>SUMIF('Monthly P&amp;L'!$D$2:$AO$2,N$5,'Monthly P&amp;L'!$D60:$AO60)</f>
        <v>-199736.25</v>
      </c>
      <c r="O49" s="394">
        <f>SUMIF('Monthly P&amp;L'!$D$2:$AO$2,O$5,'Monthly P&amp;L'!$D60:$AO60)</f>
        <v>-218111.25</v>
      </c>
      <c r="P49" s="394">
        <f>SUMIF('Monthly P&amp;L'!$D$2:$AO$2,P$5,'Monthly P&amp;L'!$D60:$AO60)</f>
        <v>-241080</v>
      </c>
      <c r="Q49" s="407">
        <f>SUMIF('Monthly P&amp;L'!$D$2:$AO$2,Q$5,'Monthly P&amp;L'!$D60:$AO60)</f>
        <v>-264048.75</v>
      </c>
    </row>
    <row r="50" spans="1:17" ht="13.35" customHeight="1">
      <c r="B50" s="12" t="str">
        <f>'Monthly P&amp;L'!B61</f>
        <v>SaaS: Team Bonus Pool (5.00% of rev)</v>
      </c>
      <c r="D50" s="13"/>
      <c r="E50" s="204"/>
      <c r="F50" s="406">
        <f>SUMIF('Monthly P&amp;L'!$D$2:$AO$2,F$5,'Monthly P&amp;L'!$D61:$AO61)</f>
        <v>0</v>
      </c>
      <c r="G50" s="394">
        <f>SUMIF('Monthly P&amp;L'!$D$2:$AO$2,G$5,'Monthly P&amp;L'!$D61:$AO61)</f>
        <v>0</v>
      </c>
      <c r="H50" s="394">
        <f>SUMIF('Monthly P&amp;L'!$D$2:$AO$2,H$5,'Monthly P&amp;L'!$D61:$AO61)</f>
        <v>0</v>
      </c>
      <c r="I50" s="407">
        <f>SUMIF('Monthly P&amp;L'!$D$2:$AO$2,I$5,'Monthly P&amp;L'!$D61:$AO61)</f>
        <v>0</v>
      </c>
      <c r="J50" s="406">
        <f>SUMIF('Monthly P&amp;L'!$D$2:$AO$2,J$5,'Monthly P&amp;L'!$D61:$AO61)</f>
        <v>0</v>
      </c>
      <c r="K50" s="394">
        <f>SUMIF('Monthly P&amp;L'!$D$2:$AO$2,K$5,'Monthly P&amp;L'!$D61:$AO61)</f>
        <v>0</v>
      </c>
      <c r="L50" s="394">
        <f>SUMIF('Monthly P&amp;L'!$D$2:$AO$2,L$5,'Monthly P&amp;L'!$D61:$AO61)</f>
        <v>0</v>
      </c>
      <c r="M50" s="407">
        <f>SUMIF('Monthly P&amp;L'!$D$2:$AO$2,M$5,'Monthly P&amp;L'!$D61:$AO61)</f>
        <v>0</v>
      </c>
      <c r="N50" s="406">
        <f>SUMIF('Monthly P&amp;L'!$D$2:$AO$2,N$5,'Monthly P&amp;L'!$D61:$AO61)</f>
        <v>0</v>
      </c>
      <c r="O50" s="394">
        <f>SUMIF('Monthly P&amp;L'!$D$2:$AO$2,O$5,'Monthly P&amp;L'!$D61:$AO61)</f>
        <v>0</v>
      </c>
      <c r="P50" s="394">
        <f>SUMIF('Monthly P&amp;L'!$D$2:$AO$2,P$5,'Monthly P&amp;L'!$D61:$AO61)</f>
        <v>0</v>
      </c>
      <c r="Q50" s="407">
        <f>SUMIF('Monthly P&amp;L'!$D$2:$AO$2,Q$5,'Monthly P&amp;L'!$D61:$AO61)</f>
        <v>-329664.95850000001</v>
      </c>
    </row>
    <row r="51" spans="1:17" ht="13.35" customHeight="1">
      <c r="B51" s="12" t="str">
        <f>'Monthly P&amp;L'!B62</f>
        <v>Lending: Team Bonus Pool (5.00% of rev)</v>
      </c>
      <c r="D51" s="13"/>
      <c r="E51" s="204"/>
      <c r="F51" s="406">
        <f>SUMIF('Monthly P&amp;L'!$D$2:$AO$2,F$5,'Monthly P&amp;L'!$D62:$AO62)</f>
        <v>0</v>
      </c>
      <c r="G51" s="394">
        <f>SUMIF('Monthly P&amp;L'!$D$2:$AO$2,G$5,'Monthly P&amp;L'!$D62:$AO62)</f>
        <v>0</v>
      </c>
      <c r="H51" s="394">
        <f>SUMIF('Monthly P&amp;L'!$D$2:$AO$2,H$5,'Monthly P&amp;L'!$D62:$AO62)</f>
        <v>0</v>
      </c>
      <c r="I51" s="407">
        <f>SUMIF('Monthly P&amp;L'!$D$2:$AO$2,I$5,'Monthly P&amp;L'!$D62:$AO62)</f>
        <v>0</v>
      </c>
      <c r="J51" s="406">
        <f>SUMIF('Monthly P&amp;L'!$D$2:$AO$2,J$5,'Monthly P&amp;L'!$D62:$AO62)</f>
        <v>0</v>
      </c>
      <c r="K51" s="394">
        <f>SUMIF('Monthly P&amp;L'!$D$2:$AO$2,K$5,'Monthly P&amp;L'!$D62:$AO62)</f>
        <v>0</v>
      </c>
      <c r="L51" s="394">
        <f>SUMIF('Monthly P&amp;L'!$D$2:$AO$2,L$5,'Monthly P&amp;L'!$D62:$AO62)</f>
        <v>0</v>
      </c>
      <c r="M51" s="407">
        <f>SUMIF('Monthly P&amp;L'!$D$2:$AO$2,M$5,'Monthly P&amp;L'!$D62:$AO62)</f>
        <v>0</v>
      </c>
      <c r="N51" s="406">
        <f>SUMIF('Monthly P&amp;L'!$D$2:$AO$2,N$5,'Monthly P&amp;L'!$D62:$AO62)</f>
        <v>0</v>
      </c>
      <c r="O51" s="394">
        <f>SUMIF('Monthly P&amp;L'!$D$2:$AO$2,O$5,'Monthly P&amp;L'!$D62:$AO62)</f>
        <v>0</v>
      </c>
      <c r="P51" s="394">
        <f>SUMIF('Monthly P&amp;L'!$D$2:$AO$2,P$5,'Monthly P&amp;L'!$D62:$AO62)</f>
        <v>0</v>
      </c>
      <c r="Q51" s="407">
        <f>SUMIF('Monthly P&amp;L'!$D$2:$AO$2,Q$5,'Monthly P&amp;L'!$D62:$AO62)</f>
        <v>-62116.85500000001</v>
      </c>
    </row>
    <row r="52" spans="1:17" ht="13.35" customHeight="1">
      <c r="A52" s="5" t="s">
        <v>47</v>
      </c>
      <c r="B52" s="23" t="s">
        <v>40</v>
      </c>
      <c r="C52" s="23"/>
      <c r="D52" s="23"/>
      <c r="E52" s="205"/>
      <c r="F52" s="408">
        <f t="shared" ref="F52:Q52" si="6">SUM(F45:F51)</f>
        <v>-192083.33333333334</v>
      </c>
      <c r="G52" s="263">
        <f t="shared" si="6"/>
        <v>-322416.66666666669</v>
      </c>
      <c r="H52" s="263">
        <f t="shared" si="6"/>
        <v>-443333.33333333337</v>
      </c>
      <c r="I52" s="409">
        <f t="shared" si="6"/>
        <v>-529500</v>
      </c>
      <c r="J52" s="408">
        <f t="shared" si="6"/>
        <v>-697725</v>
      </c>
      <c r="K52" s="263">
        <f t="shared" si="6"/>
        <v>-705600</v>
      </c>
      <c r="L52" s="263">
        <f t="shared" si="6"/>
        <v>-738412.5</v>
      </c>
      <c r="M52" s="409">
        <f t="shared" si="6"/>
        <v>-738412.5</v>
      </c>
      <c r="N52" s="408">
        <f t="shared" si="6"/>
        <v>-1011911.25</v>
      </c>
      <c r="O52" s="263">
        <f t="shared" si="6"/>
        <v>-1074386.25</v>
      </c>
      <c r="P52" s="263">
        <f t="shared" si="6"/>
        <v>-1135023.75</v>
      </c>
      <c r="Q52" s="409">
        <f t="shared" si="6"/>
        <v>-1588821.1884999999</v>
      </c>
    </row>
    <row r="53" spans="1:17" ht="13.35" customHeight="1">
      <c r="F53" s="261"/>
      <c r="G53" s="262"/>
      <c r="H53" s="262"/>
      <c r="I53" s="403"/>
      <c r="J53" s="261"/>
      <c r="K53" s="262"/>
      <c r="L53" s="262"/>
      <c r="M53" s="403"/>
      <c r="N53" s="261"/>
      <c r="O53" s="262"/>
      <c r="P53" s="262"/>
      <c r="Q53" s="403"/>
    </row>
    <row r="54" spans="1:17" ht="13.35" customHeight="1">
      <c r="A54" s="5" t="s">
        <v>47</v>
      </c>
      <c r="B54" s="18" t="s">
        <v>38</v>
      </c>
      <c r="C54" s="18"/>
      <c r="D54" s="18"/>
      <c r="E54" s="18"/>
      <c r="F54" s="404"/>
      <c r="G54" s="393"/>
      <c r="H54" s="393"/>
      <c r="I54" s="405"/>
      <c r="J54" s="404"/>
      <c r="K54" s="393"/>
      <c r="L54" s="393"/>
      <c r="M54" s="405"/>
      <c r="N54" s="404"/>
      <c r="O54" s="393"/>
      <c r="P54" s="393"/>
      <c r="Q54" s="405"/>
    </row>
    <row r="55" spans="1:17" ht="13.35" customHeight="1">
      <c r="B55" s="12" t="str">
        <f>'Monthly P&amp;L'!B66</f>
        <v>Payroll Tax + Benefits</v>
      </c>
      <c r="D55" s="13"/>
      <c r="E55" s="204"/>
      <c r="F55" s="406">
        <f>SUMIF('Monthly P&amp;L'!$D$2:$AO$2,F$5,'Monthly P&amp;L'!$D66:$AO66)</f>
        <v>-32654.166666666664</v>
      </c>
      <c r="G55" s="394">
        <f>SUMIF('Monthly P&amp;L'!$D$2:$AO$2,G$5,'Monthly P&amp;L'!$D66:$AO66)</f>
        <v>-54810.833333333343</v>
      </c>
      <c r="H55" s="394">
        <f>SUMIF('Monthly P&amp;L'!$D$2:$AO$2,H$5,'Monthly P&amp;L'!$D66:$AO66)</f>
        <v>-75366.666666666672</v>
      </c>
      <c r="I55" s="407">
        <f>SUMIF('Monthly P&amp;L'!$D$2:$AO$2,I$5,'Monthly P&amp;L'!$D66:$AO66)</f>
        <v>-90015.000000000015</v>
      </c>
      <c r="J55" s="406">
        <f>SUMIF('Monthly P&amp;L'!$D$2:$AO$2,J$5,'Monthly P&amp;L'!$D66:$AO66)</f>
        <v>-118613.25</v>
      </c>
      <c r="K55" s="394">
        <f>SUMIF('Monthly P&amp;L'!$D$2:$AO$2,K$5,'Monthly P&amp;L'!$D66:$AO66)</f>
        <v>-119952</v>
      </c>
      <c r="L55" s="394">
        <f>SUMIF('Monthly P&amp;L'!$D$2:$AO$2,L$5,'Monthly P&amp;L'!$D66:$AO66)</f>
        <v>-125530.125</v>
      </c>
      <c r="M55" s="407">
        <f>SUMIF('Monthly P&amp;L'!$D$2:$AO$2,M$5,'Monthly P&amp;L'!$D66:$AO66)</f>
        <v>-125530.125</v>
      </c>
      <c r="N55" s="406">
        <f>SUMIF('Monthly P&amp;L'!$D$2:$AO$2,N$5,'Monthly P&amp;L'!$D66:$AO66)</f>
        <v>-172024.91250000001</v>
      </c>
      <c r="O55" s="394">
        <f>SUMIF('Monthly P&amp;L'!$D$2:$AO$2,O$5,'Monthly P&amp;L'!$D66:$AO66)</f>
        <v>-182645.66250000001</v>
      </c>
      <c r="P55" s="394">
        <f>SUMIF('Monthly P&amp;L'!$D$2:$AO$2,P$5,'Monthly P&amp;L'!$D66:$AO66)</f>
        <v>-192954.03750000003</v>
      </c>
      <c r="Q55" s="407">
        <f>SUMIF('Monthly P&amp;L'!$D$2:$AO$2,Q$5,'Monthly P&amp;L'!$D66:$AO66)</f>
        <v>-203496.69375000003</v>
      </c>
    </row>
    <row r="56" spans="1:17" ht="13.35" customHeight="1">
      <c r="B56" s="12" t="str">
        <f>'Monthly P&amp;L'!B67</f>
        <v>Legal &amp; Compliance</v>
      </c>
      <c r="D56" s="13"/>
      <c r="E56" s="204"/>
      <c r="F56" s="406">
        <f>SUMIF('Monthly P&amp;L'!$D$2:$AO$2,F$5,'Monthly P&amp;L'!$D67:$AO67)</f>
        <v>-7500</v>
      </c>
      <c r="G56" s="394">
        <f>SUMIF('Monthly P&amp;L'!$D$2:$AO$2,G$5,'Monthly P&amp;L'!$D67:$AO67)</f>
        <v>-7500</v>
      </c>
      <c r="H56" s="394">
        <f>SUMIF('Monthly P&amp;L'!$D$2:$AO$2,H$5,'Monthly P&amp;L'!$D67:$AO67)</f>
        <v>-7500</v>
      </c>
      <c r="I56" s="407">
        <f>SUMIF('Monthly P&amp;L'!$D$2:$AO$2,I$5,'Monthly P&amp;L'!$D67:$AO67)</f>
        <v>-7500</v>
      </c>
      <c r="J56" s="406">
        <f>SUMIF('Monthly P&amp;L'!$D$2:$AO$2,J$5,'Monthly P&amp;L'!$D67:$AO67)</f>
        <v>-7725</v>
      </c>
      <c r="K56" s="394">
        <f>SUMIF('Monthly P&amp;L'!$D$2:$AO$2,K$5,'Monthly P&amp;L'!$D67:$AO67)</f>
        <v>-7725</v>
      </c>
      <c r="L56" s="394">
        <f>SUMIF('Monthly P&amp;L'!$D$2:$AO$2,L$5,'Monthly P&amp;L'!$D67:$AO67)</f>
        <v>-7725</v>
      </c>
      <c r="M56" s="407">
        <f>SUMIF('Monthly P&amp;L'!$D$2:$AO$2,M$5,'Monthly P&amp;L'!$D67:$AO67)</f>
        <v>-7725</v>
      </c>
      <c r="N56" s="406">
        <f>SUMIF('Monthly P&amp;L'!$D$2:$AO$2,N$5,'Monthly P&amp;L'!$D67:$AO67)</f>
        <v>-7956.75</v>
      </c>
      <c r="O56" s="394">
        <f>SUMIF('Monthly P&amp;L'!$D$2:$AO$2,O$5,'Monthly P&amp;L'!$D67:$AO67)</f>
        <v>-7956.75</v>
      </c>
      <c r="P56" s="394">
        <f>SUMIF('Monthly P&amp;L'!$D$2:$AO$2,P$5,'Monthly P&amp;L'!$D67:$AO67)</f>
        <v>-7956.75</v>
      </c>
      <c r="Q56" s="407">
        <f>SUMIF('Monthly P&amp;L'!$D$2:$AO$2,Q$5,'Monthly P&amp;L'!$D67:$AO67)</f>
        <v>-7956.75</v>
      </c>
    </row>
    <row r="57" spans="1:17" ht="13.35" customHeight="1">
      <c r="B57" s="12" t="str">
        <f>'Monthly P&amp;L'!B68</f>
        <v xml:space="preserve">Regulatory </v>
      </c>
      <c r="D57" s="13"/>
      <c r="E57" s="204"/>
      <c r="F57" s="406">
        <f>SUMIF('Monthly P&amp;L'!$D$2:$AO$2,F$5,'Monthly P&amp;L'!$D68:$AO68)</f>
        <v>-6000</v>
      </c>
      <c r="G57" s="394">
        <f>SUMIF('Monthly P&amp;L'!$D$2:$AO$2,G$5,'Monthly P&amp;L'!$D68:$AO68)</f>
        <v>-6000</v>
      </c>
      <c r="H57" s="394">
        <f>SUMIF('Monthly P&amp;L'!$D$2:$AO$2,H$5,'Monthly P&amp;L'!$D68:$AO68)</f>
        <v>-6000</v>
      </c>
      <c r="I57" s="407">
        <f>SUMIF('Monthly P&amp;L'!$D$2:$AO$2,I$5,'Monthly P&amp;L'!$D68:$AO68)</f>
        <v>-6000</v>
      </c>
      <c r="J57" s="406">
        <f>SUMIF('Monthly P&amp;L'!$D$2:$AO$2,J$5,'Monthly P&amp;L'!$D68:$AO68)</f>
        <v>-6180</v>
      </c>
      <c r="K57" s="394">
        <f>SUMIF('Monthly P&amp;L'!$D$2:$AO$2,K$5,'Monthly P&amp;L'!$D68:$AO68)</f>
        <v>-6180</v>
      </c>
      <c r="L57" s="394">
        <f>SUMIF('Monthly P&amp;L'!$D$2:$AO$2,L$5,'Monthly P&amp;L'!$D68:$AO68)</f>
        <v>-6180</v>
      </c>
      <c r="M57" s="407">
        <f>SUMIF('Monthly P&amp;L'!$D$2:$AO$2,M$5,'Monthly P&amp;L'!$D68:$AO68)</f>
        <v>-6180</v>
      </c>
      <c r="N57" s="406">
        <f>SUMIF('Monthly P&amp;L'!$D$2:$AO$2,N$5,'Monthly P&amp;L'!$D68:$AO68)</f>
        <v>-6365.4000000000005</v>
      </c>
      <c r="O57" s="394">
        <f>SUMIF('Monthly P&amp;L'!$D$2:$AO$2,O$5,'Monthly P&amp;L'!$D68:$AO68)</f>
        <v>-6365.4000000000005</v>
      </c>
      <c r="P57" s="394">
        <f>SUMIF('Monthly P&amp;L'!$D$2:$AO$2,P$5,'Monthly P&amp;L'!$D68:$AO68)</f>
        <v>-6365.4000000000005</v>
      </c>
      <c r="Q57" s="407">
        <f>SUMIF('Monthly P&amp;L'!$D$2:$AO$2,Q$5,'Monthly P&amp;L'!$D68:$AO68)</f>
        <v>-6365.4000000000005</v>
      </c>
    </row>
    <row r="58" spans="1:17" ht="13.35" customHeight="1">
      <c r="B58" s="12" t="str">
        <f>'Monthly P&amp;L'!B69</f>
        <v>Office Rent</v>
      </c>
      <c r="D58" s="13"/>
      <c r="E58" s="204"/>
      <c r="F58" s="406">
        <f>SUMIF('Monthly P&amp;L'!$D$2:$AO$2,F$5,'Monthly P&amp;L'!$D69:$AO69)</f>
        <v>-18000</v>
      </c>
      <c r="G58" s="394">
        <f>SUMIF('Monthly P&amp;L'!$D$2:$AO$2,G$5,'Monthly P&amp;L'!$D69:$AO69)</f>
        <v>-18000</v>
      </c>
      <c r="H58" s="394">
        <f>SUMIF('Monthly P&amp;L'!$D$2:$AO$2,H$5,'Monthly P&amp;L'!$D69:$AO69)</f>
        <v>-18000</v>
      </c>
      <c r="I58" s="407">
        <f>SUMIF('Monthly P&amp;L'!$D$2:$AO$2,I$5,'Monthly P&amp;L'!$D69:$AO69)</f>
        <v>-18000</v>
      </c>
      <c r="J58" s="406">
        <f>SUMIF('Monthly P&amp;L'!$D$2:$AO$2,J$5,'Monthly P&amp;L'!$D69:$AO69)</f>
        <v>-18540</v>
      </c>
      <c r="K58" s="394">
        <f>SUMIF('Monthly P&amp;L'!$D$2:$AO$2,K$5,'Monthly P&amp;L'!$D69:$AO69)</f>
        <v>-18540</v>
      </c>
      <c r="L58" s="394">
        <f>SUMIF('Monthly P&amp;L'!$D$2:$AO$2,L$5,'Monthly P&amp;L'!$D69:$AO69)</f>
        <v>-18540</v>
      </c>
      <c r="M58" s="407">
        <f>SUMIF('Monthly P&amp;L'!$D$2:$AO$2,M$5,'Monthly P&amp;L'!$D69:$AO69)</f>
        <v>-18540</v>
      </c>
      <c r="N58" s="406">
        <f>SUMIF('Monthly P&amp;L'!$D$2:$AO$2,N$5,'Monthly P&amp;L'!$D69:$AO69)</f>
        <v>-19096.2</v>
      </c>
      <c r="O58" s="394">
        <f>SUMIF('Monthly P&amp;L'!$D$2:$AO$2,O$5,'Monthly P&amp;L'!$D69:$AO69)</f>
        <v>-19096.2</v>
      </c>
      <c r="P58" s="394">
        <f>SUMIF('Monthly P&amp;L'!$D$2:$AO$2,P$5,'Monthly P&amp;L'!$D69:$AO69)</f>
        <v>-19096.2</v>
      </c>
      <c r="Q58" s="407">
        <f>SUMIF('Monthly P&amp;L'!$D$2:$AO$2,Q$5,'Monthly P&amp;L'!$D69:$AO69)</f>
        <v>-19096.2</v>
      </c>
    </row>
    <row r="59" spans="1:17" ht="13.35" customHeight="1">
      <c r="B59" s="12" t="str">
        <f>'Monthly P&amp;L'!B70</f>
        <v>Public Relations</v>
      </c>
      <c r="D59" s="13"/>
      <c r="E59" s="204"/>
      <c r="F59" s="406">
        <f>SUMIF('Monthly P&amp;L'!$D$2:$AO$2,F$5,'Monthly P&amp;L'!$D70:$AO70)</f>
        <v>-12000</v>
      </c>
      <c r="G59" s="394">
        <f>SUMIF('Monthly P&amp;L'!$D$2:$AO$2,G$5,'Monthly P&amp;L'!$D70:$AO70)</f>
        <v>-12000</v>
      </c>
      <c r="H59" s="394">
        <f>SUMIF('Monthly P&amp;L'!$D$2:$AO$2,H$5,'Monthly P&amp;L'!$D70:$AO70)</f>
        <v>-12000</v>
      </c>
      <c r="I59" s="407">
        <f>SUMIF('Monthly P&amp;L'!$D$2:$AO$2,I$5,'Monthly P&amp;L'!$D70:$AO70)</f>
        <v>-12000</v>
      </c>
      <c r="J59" s="406">
        <f>SUMIF('Monthly P&amp;L'!$D$2:$AO$2,J$5,'Monthly P&amp;L'!$D70:$AO70)</f>
        <v>-12360</v>
      </c>
      <c r="K59" s="394">
        <f>SUMIF('Monthly P&amp;L'!$D$2:$AO$2,K$5,'Monthly P&amp;L'!$D70:$AO70)</f>
        <v>-12360</v>
      </c>
      <c r="L59" s="394">
        <f>SUMIF('Monthly P&amp;L'!$D$2:$AO$2,L$5,'Monthly P&amp;L'!$D70:$AO70)</f>
        <v>-12360</v>
      </c>
      <c r="M59" s="407">
        <f>SUMIF('Monthly P&amp;L'!$D$2:$AO$2,M$5,'Monthly P&amp;L'!$D70:$AO70)</f>
        <v>-12360</v>
      </c>
      <c r="N59" s="406">
        <f>SUMIF('Monthly P&amp;L'!$D$2:$AO$2,N$5,'Monthly P&amp;L'!$D70:$AO70)</f>
        <v>-12730.800000000001</v>
      </c>
      <c r="O59" s="394">
        <f>SUMIF('Monthly P&amp;L'!$D$2:$AO$2,O$5,'Monthly P&amp;L'!$D70:$AO70)</f>
        <v>-12730.800000000001</v>
      </c>
      <c r="P59" s="394">
        <f>SUMIF('Monthly P&amp;L'!$D$2:$AO$2,P$5,'Monthly P&amp;L'!$D70:$AO70)</f>
        <v>-12730.800000000001</v>
      </c>
      <c r="Q59" s="407">
        <f>SUMIF('Monthly P&amp;L'!$D$2:$AO$2,Q$5,'Monthly P&amp;L'!$D70:$AO70)</f>
        <v>-12730.800000000001</v>
      </c>
    </row>
    <row r="60" spans="1:17" ht="13.35" customHeight="1">
      <c r="B60" s="12" t="str">
        <f>'Monthly P&amp;L'!B71</f>
        <v>Direct Marketing - Farms</v>
      </c>
      <c r="D60" s="13"/>
      <c r="E60" s="204"/>
      <c r="F60" s="406">
        <f>SUMIF('Monthly P&amp;L'!$D$2:$AO$2,F$5,'Monthly P&amp;L'!$D71:$AO71)</f>
        <v>-2993.2761832794326</v>
      </c>
      <c r="G60" s="394">
        <f>SUMIF('Monthly P&amp;L'!$D$2:$AO$2,G$5,'Monthly P&amp;L'!$D71:$AO71)</f>
        <v>-4489.9142749191487</v>
      </c>
      <c r="H60" s="394">
        <f>SUMIF('Monthly P&amp;L'!$D$2:$AO$2,H$5,'Monthly P&amp;L'!$D71:$AO71)</f>
        <v>-4489.9142749191487</v>
      </c>
      <c r="I60" s="407">
        <f>SUMIF('Monthly P&amp;L'!$D$2:$AO$2,I$5,'Monthly P&amp;L'!$D71:$AO71)</f>
        <v>-6734.8714123787231</v>
      </c>
      <c r="J60" s="406">
        <f>SUMIF('Monthly P&amp;L'!$D$2:$AO$2,J$5,'Monthly P&amp;L'!$D71:$AO71)</f>
        <v>-11786.024971662766</v>
      </c>
      <c r="K60" s="394">
        <f>SUMIF('Monthly P&amp;L'!$D$2:$AO$2,K$5,'Monthly P&amp;L'!$D71:$AO71)</f>
        <v>-11786.024971662766</v>
      </c>
      <c r="L60" s="394">
        <f>SUMIF('Monthly P&amp;L'!$D$2:$AO$2,L$5,'Monthly P&amp;L'!$D71:$AO71)</f>
        <v>-11786.024971662766</v>
      </c>
      <c r="M60" s="407">
        <f>SUMIF('Monthly P&amp;L'!$D$2:$AO$2,M$5,'Monthly P&amp;L'!$D71:$AO71)</f>
        <v>-15714.699962217022</v>
      </c>
      <c r="N60" s="406">
        <f>SUMIF('Monthly P&amp;L'!$D$2:$AO$2,N$5,'Monthly P&amp;L'!$D71:$AO71)</f>
        <v>-24750.652440491809</v>
      </c>
      <c r="O60" s="394">
        <f>SUMIF('Monthly P&amp;L'!$D$2:$AO$2,O$5,'Monthly P&amp;L'!$D71:$AO71)</f>
        <v>-24750.652440491809</v>
      </c>
      <c r="P60" s="394">
        <f>SUMIF('Monthly P&amp;L'!$D$2:$AO$2,P$5,'Monthly P&amp;L'!$D71:$AO71)</f>
        <v>-24750.652440491809</v>
      </c>
      <c r="Q60" s="407">
        <f>SUMIF('Monthly P&amp;L'!$D$2:$AO$2,Q$5,'Monthly P&amp;L'!$D71:$AO71)</f>
        <v>-24750.652440491809</v>
      </c>
    </row>
    <row r="61" spans="1:17" s="144" customFormat="1" ht="13.35" customHeight="1">
      <c r="B61" s="12" t="str">
        <f>'Monthly P&amp;L'!B72</f>
        <v>Direct Marketing for Investors</v>
      </c>
      <c r="D61" s="13"/>
      <c r="E61" s="204"/>
      <c r="F61" s="406">
        <f>SUMIF('Monthly P&amp;L'!$D$2:$AO$2,F$5,'Monthly P&amp;L'!$D72:$AO72)</f>
        <v>-3464.736892655374</v>
      </c>
      <c r="G61" s="394">
        <f>SUMIF('Monthly P&amp;L'!$D$2:$AO$2,G$5,'Monthly P&amp;L'!$D72:$AO72)</f>
        <v>-3638.4180790960513</v>
      </c>
      <c r="H61" s="394">
        <f>SUMIF('Monthly P&amp;L'!$D$2:$AO$2,H$5,'Monthly P&amp;L'!$D72:$AO72)</f>
        <v>-9290.9604519774184</v>
      </c>
      <c r="I61" s="407">
        <f>SUMIF('Monthly P&amp;L'!$D$2:$AO$2,I$5,'Monthly P&amp;L'!$D72:$AO72)</f>
        <v>-5132.7683615819324</v>
      </c>
      <c r="J61" s="406">
        <f>SUMIF('Monthly P&amp;L'!$D$2:$AO$2,J$5,'Monthly P&amp;L'!$D72:$AO72)</f>
        <v>-10642.372881355952</v>
      </c>
      <c r="K61" s="394">
        <f>SUMIF('Monthly P&amp;L'!$D$2:$AO$2,K$5,'Monthly P&amp;L'!$D72:$AO72)</f>
        <v>-10642.372881355952</v>
      </c>
      <c r="L61" s="394">
        <f>SUMIF('Monthly P&amp;L'!$D$2:$AO$2,L$5,'Monthly P&amp;L'!$D72:$AO72)</f>
        <v>-10642.372881355957</v>
      </c>
      <c r="M61" s="407">
        <f>SUMIF('Monthly P&amp;L'!$D$2:$AO$2,M$5,'Monthly P&amp;L'!$D72:$AO72)</f>
        <v>-21421.186440678004</v>
      </c>
      <c r="N61" s="406">
        <f>SUMIF('Monthly P&amp;L'!$D$2:$AO$2,N$5,'Monthly P&amp;L'!$D72:$AO72)</f>
        <v>-45127.754237288224</v>
      </c>
      <c r="O61" s="394">
        <f>SUMIF('Monthly P&amp;L'!$D$2:$AO$2,O$5,'Monthly P&amp;L'!$D72:$AO72)</f>
        <v>-45004.628532203467</v>
      </c>
      <c r="P61" s="394">
        <f>SUMIF('Monthly P&amp;L'!$D$2:$AO$2,P$5,'Monthly P&amp;L'!$D72:$AO72)</f>
        <v>-44941.00269661026</v>
      </c>
      <c r="Q61" s="407">
        <f>SUMIF('Monthly P&amp;L'!$D$2:$AO$2,Q$5,'Monthly P&amp;L'!$D72:$AO72)</f>
        <v>-45127.754237288158</v>
      </c>
    </row>
    <row r="62" spans="1:17" ht="13.35" customHeight="1">
      <c r="B62" s="12" t="str">
        <f>'Monthly P&amp;L'!B73</f>
        <v>Other Advertising</v>
      </c>
      <c r="D62" s="13"/>
      <c r="E62" s="204"/>
      <c r="F62" s="406">
        <f>SUMIF('Monthly P&amp;L'!$D$2:$AO$2,F$5,'Monthly P&amp;L'!$D73:$AO73)</f>
        <v>-4500</v>
      </c>
      <c r="G62" s="394">
        <f>SUMIF('Monthly P&amp;L'!$D$2:$AO$2,G$5,'Monthly P&amp;L'!$D73:$AO73)</f>
        <v>-4500</v>
      </c>
      <c r="H62" s="394">
        <f>SUMIF('Monthly P&amp;L'!$D$2:$AO$2,H$5,'Monthly P&amp;L'!$D73:$AO73)</f>
        <v>-4500</v>
      </c>
      <c r="I62" s="407">
        <f>SUMIF('Monthly P&amp;L'!$D$2:$AO$2,I$5,'Monthly P&amp;L'!$D73:$AO73)</f>
        <v>-4500</v>
      </c>
      <c r="J62" s="406">
        <f>SUMIF('Monthly P&amp;L'!$D$2:$AO$2,J$5,'Monthly P&amp;L'!$D73:$AO73)</f>
        <v>-4635</v>
      </c>
      <c r="K62" s="394">
        <f>SUMIF('Monthly P&amp;L'!$D$2:$AO$2,K$5,'Monthly P&amp;L'!$D73:$AO73)</f>
        <v>-4635</v>
      </c>
      <c r="L62" s="394">
        <f>SUMIF('Monthly P&amp;L'!$D$2:$AO$2,L$5,'Monthly P&amp;L'!$D73:$AO73)</f>
        <v>-4635</v>
      </c>
      <c r="M62" s="407">
        <f>SUMIF('Monthly P&amp;L'!$D$2:$AO$2,M$5,'Monthly P&amp;L'!$D73:$AO73)</f>
        <v>-4635</v>
      </c>
      <c r="N62" s="406">
        <f>SUMIF('Monthly P&amp;L'!$D$2:$AO$2,N$5,'Monthly P&amp;L'!$D73:$AO73)</f>
        <v>-4774.05</v>
      </c>
      <c r="O62" s="394">
        <f>SUMIF('Monthly P&amp;L'!$D$2:$AO$2,O$5,'Monthly P&amp;L'!$D73:$AO73)</f>
        <v>-4774.05</v>
      </c>
      <c r="P62" s="394">
        <f>SUMIF('Monthly P&amp;L'!$D$2:$AO$2,P$5,'Monthly P&amp;L'!$D73:$AO73)</f>
        <v>-4774.05</v>
      </c>
      <c r="Q62" s="407">
        <f>SUMIF('Monthly P&amp;L'!$D$2:$AO$2,Q$5,'Monthly P&amp;L'!$D73:$AO73)</f>
        <v>-4774.05</v>
      </c>
    </row>
    <row r="63" spans="1:17" s="144" customFormat="1" ht="13.35" customHeight="1">
      <c r="B63" s="12" t="str">
        <f>'Monthly P&amp;L'!B74</f>
        <v>Video Production</v>
      </c>
      <c r="D63" s="13"/>
      <c r="E63" s="204"/>
      <c r="F63" s="406">
        <f>SUMIF('Monthly P&amp;L'!$D$2:$AO$2,F$5,'Monthly P&amp;L'!$D74:$AO74)</f>
        <v>-3000</v>
      </c>
      <c r="G63" s="394">
        <f>SUMIF('Monthly P&amp;L'!$D$2:$AO$2,G$5,'Monthly P&amp;L'!$D74:$AO74)</f>
        <v>-3000</v>
      </c>
      <c r="H63" s="394">
        <f>SUMIF('Monthly P&amp;L'!$D$2:$AO$2,H$5,'Monthly P&amp;L'!$D74:$AO74)</f>
        <v>-3000</v>
      </c>
      <c r="I63" s="407">
        <f>SUMIF('Monthly P&amp;L'!$D$2:$AO$2,I$5,'Monthly P&amp;L'!$D74:$AO74)</f>
        <v>-3000</v>
      </c>
      <c r="J63" s="406">
        <f>SUMIF('Monthly P&amp;L'!$D$2:$AO$2,J$5,'Monthly P&amp;L'!$D74:$AO74)</f>
        <v>-3090</v>
      </c>
      <c r="K63" s="394">
        <f>SUMIF('Monthly P&amp;L'!$D$2:$AO$2,K$5,'Monthly P&amp;L'!$D74:$AO74)</f>
        <v>-3090</v>
      </c>
      <c r="L63" s="394">
        <f>SUMIF('Monthly P&amp;L'!$D$2:$AO$2,L$5,'Monthly P&amp;L'!$D74:$AO74)</f>
        <v>-3090</v>
      </c>
      <c r="M63" s="407">
        <f>SUMIF('Monthly P&amp;L'!$D$2:$AO$2,M$5,'Monthly P&amp;L'!$D74:$AO74)</f>
        <v>-3090</v>
      </c>
      <c r="N63" s="406">
        <f>SUMIF('Monthly P&amp;L'!$D$2:$AO$2,N$5,'Monthly P&amp;L'!$D74:$AO74)</f>
        <v>-3182.7000000000003</v>
      </c>
      <c r="O63" s="394">
        <f>SUMIF('Monthly P&amp;L'!$D$2:$AO$2,O$5,'Monthly P&amp;L'!$D74:$AO74)</f>
        <v>-3182.7000000000003</v>
      </c>
      <c r="P63" s="394">
        <f>SUMIF('Monthly P&amp;L'!$D$2:$AO$2,P$5,'Monthly P&amp;L'!$D74:$AO74)</f>
        <v>-3182.7000000000003</v>
      </c>
      <c r="Q63" s="407">
        <f>SUMIF('Monthly P&amp;L'!$D$2:$AO$2,Q$5,'Monthly P&amp;L'!$D74:$AO74)</f>
        <v>-3182.7000000000003</v>
      </c>
    </row>
    <row r="64" spans="1:17" s="144" customFormat="1" ht="13.35" customHeight="1">
      <c r="B64" s="12" t="str">
        <f>'Monthly P&amp;L'!B75</f>
        <v>Supplies + CPU + Phone</v>
      </c>
      <c r="D64" s="13"/>
      <c r="E64" s="204"/>
      <c r="F64" s="406">
        <f>SUMIF('Monthly P&amp;L'!$D$2:$AO$2,F$5,'Monthly P&amp;L'!$D75:$AO75)</f>
        <v>-15000</v>
      </c>
      <c r="G64" s="394">
        <f>SUMIF('Monthly P&amp;L'!$D$2:$AO$2,G$5,'Monthly P&amp;L'!$D75:$AO75)</f>
        <v>-15000</v>
      </c>
      <c r="H64" s="394">
        <f>SUMIF('Monthly P&amp;L'!$D$2:$AO$2,H$5,'Monthly P&amp;L'!$D75:$AO75)</f>
        <v>-15000</v>
      </c>
      <c r="I64" s="407">
        <f>SUMIF('Monthly P&amp;L'!$D$2:$AO$2,I$5,'Monthly P&amp;L'!$D75:$AO75)</f>
        <v>-15000</v>
      </c>
      <c r="J64" s="406">
        <f>SUMIF('Monthly P&amp;L'!$D$2:$AO$2,J$5,'Monthly P&amp;L'!$D75:$AO75)</f>
        <v>-15450</v>
      </c>
      <c r="K64" s="394">
        <f>SUMIF('Monthly P&amp;L'!$D$2:$AO$2,K$5,'Monthly P&amp;L'!$D75:$AO75)</f>
        <v>-15450</v>
      </c>
      <c r="L64" s="394">
        <f>SUMIF('Monthly P&amp;L'!$D$2:$AO$2,L$5,'Monthly P&amp;L'!$D75:$AO75)</f>
        <v>-15450</v>
      </c>
      <c r="M64" s="407">
        <f>SUMIF('Monthly P&amp;L'!$D$2:$AO$2,M$5,'Monthly P&amp;L'!$D75:$AO75)</f>
        <v>-15450</v>
      </c>
      <c r="N64" s="406">
        <f>SUMIF('Monthly P&amp;L'!$D$2:$AO$2,N$5,'Monthly P&amp;L'!$D75:$AO75)</f>
        <v>-15913.5</v>
      </c>
      <c r="O64" s="394">
        <f>SUMIF('Monthly P&amp;L'!$D$2:$AO$2,O$5,'Monthly P&amp;L'!$D75:$AO75)</f>
        <v>-15913.5</v>
      </c>
      <c r="P64" s="394">
        <f>SUMIF('Monthly P&amp;L'!$D$2:$AO$2,P$5,'Monthly P&amp;L'!$D75:$AO75)</f>
        <v>-15913.5</v>
      </c>
      <c r="Q64" s="407">
        <f>SUMIF('Monthly P&amp;L'!$D$2:$AO$2,Q$5,'Monthly P&amp;L'!$D75:$AO75)</f>
        <v>-15913.5</v>
      </c>
    </row>
    <row r="65" spans="1:17" ht="13.35" customHeight="1">
      <c r="B65" s="12" t="str">
        <f>'Monthly P&amp;L'!B76</f>
        <v>Travel, Entertainment, Conference  Expenses</v>
      </c>
      <c r="D65" s="13"/>
      <c r="E65" s="204"/>
      <c r="F65" s="406">
        <f>SUMIF('Monthly P&amp;L'!$D$2:$AO$2,F$5,'Monthly P&amp;L'!$D76:$AO76)</f>
        <v>-9000</v>
      </c>
      <c r="G65" s="394">
        <f>SUMIF('Monthly P&amp;L'!$D$2:$AO$2,G$5,'Monthly P&amp;L'!$D76:$AO76)</f>
        <v>-9000</v>
      </c>
      <c r="H65" s="394">
        <f>SUMIF('Monthly P&amp;L'!$D$2:$AO$2,H$5,'Monthly P&amp;L'!$D76:$AO76)</f>
        <v>-9000</v>
      </c>
      <c r="I65" s="407">
        <f>SUMIF('Monthly P&amp;L'!$D$2:$AO$2,I$5,'Monthly P&amp;L'!$D76:$AO76)</f>
        <v>-9000</v>
      </c>
      <c r="J65" s="406">
        <f>SUMIF('Monthly P&amp;L'!$D$2:$AO$2,J$5,'Monthly P&amp;L'!$D76:$AO76)</f>
        <v>-9270</v>
      </c>
      <c r="K65" s="394">
        <f>SUMIF('Monthly P&amp;L'!$D$2:$AO$2,K$5,'Monthly P&amp;L'!$D76:$AO76)</f>
        <v>-9270</v>
      </c>
      <c r="L65" s="394">
        <f>SUMIF('Monthly P&amp;L'!$D$2:$AO$2,L$5,'Monthly P&amp;L'!$D76:$AO76)</f>
        <v>-9270</v>
      </c>
      <c r="M65" s="407">
        <f>SUMIF('Monthly P&amp;L'!$D$2:$AO$2,M$5,'Monthly P&amp;L'!$D76:$AO76)</f>
        <v>-9270</v>
      </c>
      <c r="N65" s="406">
        <f>SUMIF('Monthly P&amp;L'!$D$2:$AO$2,N$5,'Monthly P&amp;L'!$D76:$AO76)</f>
        <v>-9548.1</v>
      </c>
      <c r="O65" s="394">
        <f>SUMIF('Monthly P&amp;L'!$D$2:$AO$2,O$5,'Monthly P&amp;L'!$D76:$AO76)</f>
        <v>-9548.1</v>
      </c>
      <c r="P65" s="394">
        <f>SUMIF('Monthly P&amp;L'!$D$2:$AO$2,P$5,'Monthly P&amp;L'!$D76:$AO76)</f>
        <v>-9548.1</v>
      </c>
      <c r="Q65" s="407">
        <f>SUMIF('Monthly P&amp;L'!$D$2:$AO$2,Q$5,'Monthly P&amp;L'!$D76:$AO76)</f>
        <v>-9548.1</v>
      </c>
    </row>
    <row r="66" spans="1:17" s="144" customFormat="1" ht="13.35" customHeight="1">
      <c r="B66" s="12" t="str">
        <f>'Monthly P&amp;L'!B77</f>
        <v>Other Expenses</v>
      </c>
      <c r="D66" s="13"/>
      <c r="E66" s="204"/>
      <c r="F66" s="406">
        <f>SUMIF('Monthly P&amp;L'!$D$2:$AO$2,F$5,'Monthly P&amp;L'!$D77:$AO77)</f>
        <v>-3000</v>
      </c>
      <c r="G66" s="394">
        <f>SUMIF('Monthly P&amp;L'!$D$2:$AO$2,G$5,'Monthly P&amp;L'!$D77:$AO77)</f>
        <v>-3000</v>
      </c>
      <c r="H66" s="394">
        <f>SUMIF('Monthly P&amp;L'!$D$2:$AO$2,H$5,'Monthly P&amp;L'!$D77:$AO77)</f>
        <v>-3000</v>
      </c>
      <c r="I66" s="407">
        <f>SUMIF('Monthly P&amp;L'!$D$2:$AO$2,I$5,'Monthly P&amp;L'!$D77:$AO77)</f>
        <v>-3000</v>
      </c>
      <c r="J66" s="406">
        <f>SUMIF('Monthly P&amp;L'!$D$2:$AO$2,J$5,'Monthly P&amp;L'!$D77:$AO77)</f>
        <v>-3090</v>
      </c>
      <c r="K66" s="394">
        <f>SUMIF('Monthly P&amp;L'!$D$2:$AO$2,K$5,'Monthly P&amp;L'!$D77:$AO77)</f>
        <v>-3090</v>
      </c>
      <c r="L66" s="394">
        <f>SUMIF('Monthly P&amp;L'!$D$2:$AO$2,L$5,'Monthly P&amp;L'!$D77:$AO77)</f>
        <v>-3090</v>
      </c>
      <c r="M66" s="407">
        <f>SUMIF('Monthly P&amp;L'!$D$2:$AO$2,M$5,'Monthly P&amp;L'!$D77:$AO77)</f>
        <v>-3090</v>
      </c>
      <c r="N66" s="406">
        <f>SUMIF('Monthly P&amp;L'!$D$2:$AO$2,N$5,'Monthly P&amp;L'!$D77:$AO77)</f>
        <v>-3182.7000000000003</v>
      </c>
      <c r="O66" s="394">
        <f>SUMIF('Monthly P&amp;L'!$D$2:$AO$2,O$5,'Monthly P&amp;L'!$D77:$AO77)</f>
        <v>-3182.7000000000003</v>
      </c>
      <c r="P66" s="394">
        <f>SUMIF('Monthly P&amp;L'!$D$2:$AO$2,P$5,'Monthly P&amp;L'!$D77:$AO77)</f>
        <v>-3182.7000000000003</v>
      </c>
      <c r="Q66" s="407">
        <f>SUMIF('Monthly P&amp;L'!$D$2:$AO$2,Q$5,'Monthly P&amp;L'!$D77:$AO77)</f>
        <v>-3182.7000000000003</v>
      </c>
    </row>
    <row r="67" spans="1:17" ht="13.35" customHeight="1">
      <c r="A67" s="5" t="s">
        <v>47</v>
      </c>
      <c r="B67" s="165" t="s">
        <v>41</v>
      </c>
      <c r="C67" s="165"/>
      <c r="D67" s="23"/>
      <c r="E67" s="205"/>
      <c r="F67" s="408">
        <f t="shared" ref="F67:Q67" si="7">SUM(F55:F66)</f>
        <v>-117112.17974260147</v>
      </c>
      <c r="G67" s="263">
        <f t="shared" si="7"/>
        <v>-140939.16568734855</v>
      </c>
      <c r="H67" s="263">
        <f t="shared" si="7"/>
        <v>-167147.54139356324</v>
      </c>
      <c r="I67" s="409">
        <f t="shared" si="7"/>
        <v>-179882.63977396066</v>
      </c>
      <c r="J67" s="408">
        <f t="shared" si="7"/>
        <v>-221381.64785301872</v>
      </c>
      <c r="K67" s="263">
        <f t="shared" si="7"/>
        <v>-222720.39785301872</v>
      </c>
      <c r="L67" s="263">
        <f t="shared" si="7"/>
        <v>-228298.52285301872</v>
      </c>
      <c r="M67" s="409">
        <f t="shared" si="7"/>
        <v>-243006.011402895</v>
      </c>
      <c r="N67" s="408">
        <f t="shared" si="7"/>
        <v>-324653.51917778002</v>
      </c>
      <c r="O67" s="263">
        <f t="shared" si="7"/>
        <v>-335151.14347269526</v>
      </c>
      <c r="P67" s="263">
        <f t="shared" si="7"/>
        <v>-345395.89263710211</v>
      </c>
      <c r="Q67" s="409">
        <f t="shared" si="7"/>
        <v>-356125.30042777996</v>
      </c>
    </row>
    <row r="68" spans="1:17" ht="13.35" customHeight="1">
      <c r="E68" s="200"/>
      <c r="F68" s="261"/>
      <c r="G68" s="262"/>
      <c r="H68" s="262"/>
      <c r="I68" s="403"/>
      <c r="J68" s="261"/>
      <c r="K68" s="262"/>
      <c r="L68" s="262"/>
      <c r="M68" s="403"/>
      <c r="N68" s="261"/>
      <c r="O68" s="262"/>
      <c r="P68" s="262"/>
      <c r="Q68" s="403"/>
    </row>
    <row r="69" spans="1:17" ht="13.35" customHeight="1">
      <c r="E69" s="200"/>
      <c r="F69" s="261"/>
      <c r="G69" s="262"/>
      <c r="H69" s="262"/>
      <c r="I69" s="403"/>
      <c r="J69" s="261"/>
      <c r="K69" s="262"/>
      <c r="L69" s="262"/>
      <c r="M69" s="403"/>
      <c r="N69" s="261"/>
      <c r="O69" s="262"/>
      <c r="P69" s="262"/>
      <c r="Q69" s="403"/>
    </row>
    <row r="70" spans="1:17" ht="13.35" customHeight="1">
      <c r="A70" s="5" t="s">
        <v>47</v>
      </c>
      <c r="B70" s="26" t="s">
        <v>69</v>
      </c>
      <c r="C70" s="26"/>
      <c r="D70" s="162"/>
      <c r="E70" s="207"/>
      <c r="F70" s="410">
        <f t="shared" ref="F70:Q70" si="8">SUM(F38,F67,F52,F42)</f>
        <v>-302529.6605759348</v>
      </c>
      <c r="G70" s="395">
        <f t="shared" si="8"/>
        <v>-445340.97985401523</v>
      </c>
      <c r="H70" s="395">
        <f t="shared" si="8"/>
        <v>-328242.97639356321</v>
      </c>
      <c r="I70" s="411">
        <f t="shared" si="8"/>
        <v>-546052.51227396063</v>
      </c>
      <c r="J70" s="410">
        <f t="shared" si="8"/>
        <v>-544182.77035301877</v>
      </c>
      <c r="K70" s="395">
        <f t="shared" si="8"/>
        <v>-515793.02035301866</v>
      </c>
      <c r="L70" s="395">
        <f t="shared" si="8"/>
        <v>-515909.64535301866</v>
      </c>
      <c r="M70" s="411">
        <f t="shared" si="8"/>
        <v>-492045.13390289492</v>
      </c>
      <c r="N70" s="410">
        <f t="shared" si="8"/>
        <v>141304.85832221992</v>
      </c>
      <c r="O70" s="395">
        <f t="shared" si="8"/>
        <v>247378.23402730469</v>
      </c>
      <c r="P70" s="395">
        <f t="shared" si="8"/>
        <v>357904.99486289802</v>
      </c>
      <c r="Q70" s="411">
        <f t="shared" si="8"/>
        <v>77579.888572219992</v>
      </c>
    </row>
    <row r="71" spans="1:17" ht="13.35" customHeight="1">
      <c r="B71" s="26" t="s">
        <v>68</v>
      </c>
      <c r="C71" s="26"/>
      <c r="D71" s="162"/>
      <c r="E71" s="207"/>
      <c r="F71" s="410">
        <f t="shared" ref="F71:M71" si="9">SUM(F70,E71)</f>
        <v>-302529.6605759348</v>
      </c>
      <c r="G71" s="395">
        <f t="shared" si="9"/>
        <v>-747870.64042995009</v>
      </c>
      <c r="H71" s="395">
        <f t="shared" si="9"/>
        <v>-1076113.6168235133</v>
      </c>
      <c r="I71" s="411">
        <f t="shared" si="9"/>
        <v>-1622166.1290974738</v>
      </c>
      <c r="J71" s="410">
        <f t="shared" si="9"/>
        <v>-2166348.8994504926</v>
      </c>
      <c r="K71" s="395">
        <f t="shared" si="9"/>
        <v>-2682141.9198035114</v>
      </c>
      <c r="L71" s="395">
        <f t="shared" si="9"/>
        <v>-3198051.5651565301</v>
      </c>
      <c r="M71" s="411">
        <f t="shared" si="9"/>
        <v>-3690096.6990594249</v>
      </c>
      <c r="N71" s="410">
        <f>SUM(N70,M71)</f>
        <v>-3548791.840737205</v>
      </c>
      <c r="O71" s="395">
        <f>SUM(O70,N71)</f>
        <v>-3301413.6067099003</v>
      </c>
      <c r="P71" s="395">
        <f>SUM(P70,O71)</f>
        <v>-2943508.6118470021</v>
      </c>
      <c r="Q71" s="411">
        <f>SUM(Q70,P71)</f>
        <v>-2865928.7232747823</v>
      </c>
    </row>
    <row r="72" spans="1:17" ht="13.35" customHeight="1">
      <c r="F72" s="156"/>
      <c r="J72" s="156"/>
      <c r="N72" s="156"/>
    </row>
    <row r="74" spans="1:17" ht="13.35" customHeight="1">
      <c r="B74"/>
    </row>
    <row r="75" spans="1:17" ht="13.35" customHeight="1">
      <c r="B75"/>
    </row>
    <row r="76" spans="1:17" ht="13.35" customHeight="1">
      <c r="B76"/>
    </row>
    <row r="96" spans="2:3" ht="13.35" customHeight="1">
      <c r="B96" s="40"/>
      <c r="C96" s="40"/>
    </row>
  </sheetData>
  <pageMargins left="0.7" right="0.7" top="0.75" bottom="0.75" header="0.3" footer="0.3"/>
  <pageSetup scale="84" fitToHeight="0" orientation="landscape" r:id="rId1"/>
  <rowBreaks count="1" manualBreakCount="1">
    <brk id="53" max="17" man="1"/>
  </rowBreaks>
  <colBreaks count="2" manualBreakCount="2">
    <brk id="9" max="71" man="1"/>
    <brk id="13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FA4C-FD4A-4D4E-9532-AE377D1D9C8C}">
  <sheetPr>
    <tabColor rgb="FF00B0F0"/>
  </sheetPr>
  <dimension ref="A1:L167"/>
  <sheetViews>
    <sheetView showGridLines="0" zoomScale="150" zoomScaleNormal="15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2" sqref="E22"/>
    </sheetView>
  </sheetViews>
  <sheetFormatPr defaultColWidth="8.7109375" defaultRowHeight="13.35" customHeight="1"/>
  <cols>
    <col min="1" max="1" width="1.7109375" style="144" customWidth="1"/>
    <col min="2" max="2" width="59.7109375" style="144" bestFit="1" customWidth="1"/>
    <col min="3" max="3" width="1.7109375" style="144" customWidth="1"/>
    <col min="4" max="8" width="15.7109375" style="144" customWidth="1"/>
    <col min="9" max="9" width="3.7109375" style="144" customWidth="1"/>
    <col min="10" max="11" width="11" style="144" bestFit="1" customWidth="1"/>
    <col min="12" max="12" width="12.140625" style="144" bestFit="1" customWidth="1"/>
    <col min="13" max="16384" width="8.7109375" style="144"/>
  </cols>
  <sheetData>
    <row r="1" spans="1:12" ht="20.100000000000001" customHeight="1">
      <c r="B1" s="80" t="str">
        <f>'Cover Page'!D10</f>
        <v>Steward Holdings (US) Inc., A Public Benefit Corporation</v>
      </c>
      <c r="C1" s="103"/>
      <c r="D1" s="103"/>
      <c r="E1" s="104"/>
      <c r="F1" s="104"/>
      <c r="G1" s="104"/>
      <c r="H1" s="104"/>
    </row>
    <row r="2" spans="1:12" ht="15">
      <c r="B2" s="219" t="s">
        <v>9</v>
      </c>
      <c r="C2" s="10"/>
      <c r="D2" s="10"/>
    </row>
    <row r="3" spans="1:12" ht="13.35" customHeight="1">
      <c r="D3" s="6" t="s">
        <v>12</v>
      </c>
      <c r="E3" s="6" t="s">
        <v>251</v>
      </c>
      <c r="F3" s="6" t="s">
        <v>19</v>
      </c>
      <c r="G3" s="6">
        <f>G23/G7</f>
        <v>5.1999999999999998E-2</v>
      </c>
      <c r="H3" s="6" t="s">
        <v>252</v>
      </c>
    </row>
    <row r="4" spans="1:12" ht="14.25">
      <c r="B4" s="435">
        <v>1000</v>
      </c>
      <c r="C4" s="7"/>
      <c r="D4" s="7" t="s">
        <v>89</v>
      </c>
      <c r="E4" s="7"/>
      <c r="F4" s="8"/>
      <c r="G4" s="7"/>
      <c r="H4" s="7"/>
    </row>
    <row r="5" spans="1:12" ht="12.75">
      <c r="B5" s="7" t="s">
        <v>73</v>
      </c>
      <c r="C5" s="7"/>
      <c r="D5" s="429" t="s">
        <v>1</v>
      </c>
      <c r="E5" s="52" t="s">
        <v>199</v>
      </c>
      <c r="F5" s="59" t="s">
        <v>3</v>
      </c>
      <c r="G5" s="59" t="s">
        <v>36</v>
      </c>
      <c r="H5" s="59" t="s">
        <v>48</v>
      </c>
    </row>
    <row r="6" spans="1:12" ht="5.0999999999999996" customHeight="1">
      <c r="B6" s="9">
        <v>1000</v>
      </c>
      <c r="C6" s="10"/>
      <c r="D6" s="501"/>
      <c r="E6" s="53"/>
      <c r="F6" s="60"/>
      <c r="G6" s="60"/>
      <c r="H6" s="60"/>
    </row>
    <row r="7" spans="1:12" ht="12.75">
      <c r="B7" s="590" t="s">
        <v>318</v>
      </c>
      <c r="C7" s="10"/>
      <c r="D7" s="591">
        <v>400</v>
      </c>
      <c r="E7" s="591">
        <v>800</v>
      </c>
      <c r="F7" s="592">
        <f>(SUMIF('Quarterly P&amp;L'!$D$2:$Q$2,F$5,'Quarterly P&amp;L'!$D7:$Q7))</f>
        <v>1000</v>
      </c>
      <c r="G7" s="592">
        <f>(SUMIF('Quarterly P&amp;L'!$D$2:$Q$2,G$5,'Quarterly P&amp;L'!$D7:$Q7))</f>
        <v>3000</v>
      </c>
      <c r="H7" s="592">
        <f>(SUMIF('Quarterly P&amp;L'!$D$2:$Q$2,H$5,'Quarterly P&amp;L'!$D7:$Q7))</f>
        <v>6000</v>
      </c>
      <c r="J7" s="452"/>
      <c r="K7" s="452"/>
      <c r="L7" s="452"/>
    </row>
    <row r="8" spans="1:12" ht="12" customHeight="1">
      <c r="B8" s="590" t="s">
        <v>408</v>
      </c>
      <c r="C8" s="10"/>
      <c r="D8" s="675">
        <f>D7</f>
        <v>400</v>
      </c>
      <c r="E8" s="676">
        <f t="shared" ref="E8:H8" si="0">D8+E7</f>
        <v>1200</v>
      </c>
      <c r="F8" s="592">
        <f t="shared" si="0"/>
        <v>2200</v>
      </c>
      <c r="G8" s="592">
        <f t="shared" si="0"/>
        <v>5200</v>
      </c>
      <c r="H8" s="592">
        <f t="shared" si="0"/>
        <v>11200</v>
      </c>
    </row>
    <row r="9" spans="1:12" ht="5.0999999999999996" customHeight="1">
      <c r="B9" s="9"/>
      <c r="C9" s="10"/>
      <c r="D9" s="501"/>
      <c r="E9" s="53"/>
      <c r="F9" s="60"/>
      <c r="G9" s="60"/>
      <c r="H9" s="60"/>
    </row>
    <row r="10" spans="1:12" ht="14.85" customHeight="1">
      <c r="A10" s="144" t="s">
        <v>47</v>
      </c>
      <c r="B10" s="11" t="s">
        <v>331</v>
      </c>
      <c r="C10" s="11"/>
      <c r="D10" s="391"/>
      <c r="E10" s="54"/>
      <c r="F10" s="61"/>
      <c r="G10" s="61"/>
      <c r="H10" s="61"/>
    </row>
    <row r="11" spans="1:12" ht="12.75">
      <c r="B11" s="12" t="s">
        <v>109</v>
      </c>
      <c r="D11" s="501">
        <v>8</v>
      </c>
      <c r="E11" s="501">
        <v>8</v>
      </c>
      <c r="F11" s="436">
        <f>(SUMIF('Quarterly P&amp;L'!$D$2:$Q$2,F$5,'Quarterly P&amp;L'!$D10:$Q10))</f>
        <v>30</v>
      </c>
      <c r="G11" s="436">
        <f>(SUMIF('Quarterly P&amp;L'!$D$2:$Q$2,G$5,'Quarterly P&amp;L'!$D10:$Q10))</f>
        <v>156</v>
      </c>
      <c r="H11" s="436">
        <f>(SUMIF('Quarterly P&amp;L'!$D$2:$Q$2,H$5,'Quarterly P&amp;L'!$D10:$Q10))</f>
        <v>420</v>
      </c>
    </row>
    <row r="12" spans="1:12" ht="12.75">
      <c r="B12" s="12" t="s">
        <v>110</v>
      </c>
      <c r="D12" s="501">
        <v>8</v>
      </c>
      <c r="E12" s="501">
        <v>16</v>
      </c>
      <c r="F12" s="500">
        <f>'Quarterly P&amp;L'!I11</f>
        <v>45</v>
      </c>
      <c r="G12" s="500">
        <f>'Quarterly P&amp;L'!M11</f>
        <v>201</v>
      </c>
      <c r="H12" s="500">
        <f>'Quarterly P&amp;L'!Q11</f>
        <v>619</v>
      </c>
    </row>
    <row r="13" spans="1:12" ht="12.75">
      <c r="B13" s="12" t="s">
        <v>324</v>
      </c>
      <c r="D13" s="501"/>
      <c r="E13" s="501">
        <v>50</v>
      </c>
      <c r="F13" s="500">
        <f>'Quarterly P&amp;L'!I12</f>
        <v>362.96705423728883</v>
      </c>
      <c r="G13" s="500">
        <f>'Quarterly P&amp;L'!M12</f>
        <v>1173.814511864409</v>
      </c>
      <c r="H13" s="500">
        <f>'Quarterly P&amp;L'!Q12</f>
        <v>4442.7694271186519</v>
      </c>
    </row>
    <row r="14" spans="1:12" ht="12.75">
      <c r="B14" s="12" t="s">
        <v>325</v>
      </c>
      <c r="D14" s="505">
        <f>D13-C13</f>
        <v>0</v>
      </c>
      <c r="E14" s="505">
        <f>E13-D13</f>
        <v>50</v>
      </c>
      <c r="F14" s="505">
        <f>F13-E13</f>
        <v>312.96705423728883</v>
      </c>
      <c r="G14" s="505">
        <f>G13-F13</f>
        <v>810.84745762712021</v>
      </c>
      <c r="H14" s="505">
        <f>H13-G13</f>
        <v>3268.9549152542431</v>
      </c>
    </row>
    <row r="15" spans="1:12" ht="3.95" customHeight="1">
      <c r="B15" s="12"/>
      <c r="D15" s="505"/>
      <c r="E15" s="262"/>
      <c r="F15" s="262"/>
      <c r="G15" s="262"/>
      <c r="H15" s="262"/>
    </row>
    <row r="16" spans="1:12" ht="13.35" customHeight="1">
      <c r="A16" s="144" t="s">
        <v>47</v>
      </c>
      <c r="B16" s="11" t="s">
        <v>198</v>
      </c>
      <c r="C16" s="11"/>
      <c r="D16" s="391"/>
      <c r="E16" s="54"/>
      <c r="F16" s="61"/>
      <c r="G16" s="61"/>
      <c r="H16" s="61"/>
    </row>
    <row r="17" spans="1:12" ht="5.0999999999999996" customHeight="1">
      <c r="D17" s="392"/>
      <c r="E17" s="55"/>
      <c r="F17" s="62"/>
      <c r="G17" s="62"/>
      <c r="H17" s="62"/>
    </row>
    <row r="18" spans="1:12" ht="13.35" customHeight="1">
      <c r="B18" s="12" t="s">
        <v>263</v>
      </c>
      <c r="D18" s="512">
        <v>1458.39525</v>
      </c>
      <c r="E18" s="512">
        <v>925.31853999999998</v>
      </c>
      <c r="F18" s="458">
        <f>(SUMIF('Quarterly P&amp;L'!$D$2:$Q$2,F$5,'Quarterly P&amp;L'!$D17:$Q17))</f>
        <v>11300</v>
      </c>
      <c r="G18" s="458">
        <f>(SUMIF('Quarterly P&amp;L'!$D$2:$Q$2,G$5,'Quarterly P&amp;L'!$D17:$Q17))</f>
        <v>31200</v>
      </c>
      <c r="H18" s="458">
        <f>(SUMIF('Quarterly P&amp;L'!$D$2:$Q$2,H$5,'Quarterly P&amp;L'!$D17:$Q17))</f>
        <v>126000</v>
      </c>
      <c r="J18" s="13"/>
    </row>
    <row r="19" spans="1:12" ht="5.0999999999999996" customHeight="1">
      <c r="B19" s="12"/>
      <c r="D19" s="459"/>
      <c r="E19" s="459"/>
      <c r="F19" s="460"/>
      <c r="G19" s="460"/>
      <c r="H19" s="460"/>
    </row>
    <row r="20" spans="1:12" ht="13.35" customHeight="1">
      <c r="B20" s="12" t="s">
        <v>112</v>
      </c>
      <c r="D20" s="461">
        <f>D18</f>
        <v>1458.39525</v>
      </c>
      <c r="E20" s="457">
        <f>E18+D20</f>
        <v>2383.7137899999998</v>
      </c>
      <c r="F20" s="462">
        <f>'Quarterly P&amp;L'!I19</f>
        <v>13966.341</v>
      </c>
      <c r="G20" s="462">
        <f>'Quarterly P&amp;L'!M19</f>
        <v>45166.341</v>
      </c>
      <c r="H20" s="462">
        <f>'Quarterly P&amp;L'!Q19</f>
        <v>170950.041</v>
      </c>
      <c r="J20" s="201"/>
      <c r="K20" s="201"/>
      <c r="L20" s="201"/>
    </row>
    <row r="21" spans="1:12" ht="3.95" customHeight="1">
      <c r="C21" s="160"/>
      <c r="D21" s="392"/>
      <c r="E21" s="56"/>
      <c r="F21" s="63"/>
      <c r="G21" s="63"/>
      <c r="H21" s="63"/>
    </row>
    <row r="22" spans="1:12" ht="12.75">
      <c r="A22" s="144" t="s">
        <v>47</v>
      </c>
      <c r="B22" s="11" t="s">
        <v>330</v>
      </c>
      <c r="C22" s="11"/>
      <c r="D22" s="391"/>
      <c r="E22" s="54"/>
      <c r="F22" s="61"/>
      <c r="G22" s="61"/>
      <c r="H22" s="61"/>
    </row>
    <row r="23" spans="1:12" ht="12.75">
      <c r="B23" s="12" t="s">
        <v>184</v>
      </c>
      <c r="D23" s="454">
        <v>0</v>
      </c>
      <c r="E23" s="501">
        <v>8</v>
      </c>
      <c r="F23" s="436">
        <f>(SUMIF('Quarterly P&amp;L'!$D$2:$Q$2,F$5,'Quarterly P&amp;L'!$D22:$Q22))</f>
        <v>14</v>
      </c>
      <c r="G23" s="436">
        <f>(SUMIF('Quarterly P&amp;L'!$D$2:$Q$2,G$5,'Quarterly P&amp;L'!$D22:$Q22))</f>
        <v>156</v>
      </c>
      <c r="H23" s="436">
        <f>(SUMIF('Quarterly P&amp;L'!$D$2:$Q$2,H$5,'Quarterly P&amp;L'!$D22:$Q22))</f>
        <v>636</v>
      </c>
      <c r="I23" s="597"/>
    </row>
    <row r="24" spans="1:12" ht="12.75">
      <c r="B24" s="12" t="s">
        <v>186</v>
      </c>
      <c r="D24" s="454">
        <v>0</v>
      </c>
      <c r="E24" s="455">
        <v>0</v>
      </c>
      <c r="F24" s="436">
        <f>(SUMIF('Quarterly P&amp;L'!$D$2:$Q$2,F$5,'Quarterly P&amp;L'!$D23:$Q23))</f>
        <v>7.4999999999999997E-2</v>
      </c>
      <c r="G24" s="436">
        <f>(SUMIF('Quarterly P&amp;L'!$D$2:$Q$2,G$5,'Quarterly P&amp;L'!$D23:$Q23))</f>
        <v>11</v>
      </c>
      <c r="H24" s="436">
        <f>(SUMIF('Quarterly P&amp;L'!$D$2:$Q$2,H$5,'Quarterly P&amp;L'!$D23:$Q23))</f>
        <v>54</v>
      </c>
    </row>
    <row r="25" spans="1:12" ht="12.75">
      <c r="B25" s="12" t="s">
        <v>185</v>
      </c>
      <c r="D25" s="454">
        <v>0</v>
      </c>
      <c r="E25" s="455">
        <v>8</v>
      </c>
      <c r="F25" s="500">
        <f>'Quarterly P&amp;L'!I24</f>
        <v>14.074999999999999</v>
      </c>
      <c r="G25" s="500">
        <f>'Quarterly P&amp;L'!M24</f>
        <v>181.07499999999999</v>
      </c>
      <c r="H25" s="500">
        <f>'Quarterly P&amp;L'!Q24</f>
        <v>871.07500000000005</v>
      </c>
    </row>
    <row r="26" spans="1:12" ht="3.95" customHeight="1">
      <c r="B26" s="12"/>
      <c r="D26" s="454"/>
      <c r="E26" s="455"/>
      <c r="F26" s="500"/>
      <c r="G26" s="500"/>
      <c r="H26" s="500"/>
    </row>
    <row r="27" spans="1:12" ht="12.75">
      <c r="A27" s="144" t="s">
        <v>47</v>
      </c>
      <c r="B27" s="11" t="s">
        <v>193</v>
      </c>
      <c r="C27" s="11"/>
      <c r="D27" s="391"/>
      <c r="E27" s="54"/>
      <c r="F27" s="61"/>
      <c r="G27" s="61"/>
      <c r="H27" s="61"/>
    </row>
    <row r="28" spans="1:12" ht="13.35" customHeight="1">
      <c r="C28" s="113"/>
      <c r="D28" s="390"/>
      <c r="E28" s="55"/>
      <c r="F28" s="62"/>
      <c r="G28" s="62"/>
      <c r="H28" s="62"/>
    </row>
    <row r="29" spans="1:12" ht="12.75">
      <c r="B29" s="18" t="s">
        <v>322</v>
      </c>
      <c r="C29" s="160"/>
      <c r="D29" s="392"/>
      <c r="E29" s="57"/>
      <c r="F29" s="218"/>
      <c r="G29" s="218"/>
      <c r="H29" s="218"/>
    </row>
    <row r="30" spans="1:12" ht="12.75">
      <c r="B30" s="12" t="s">
        <v>367</v>
      </c>
      <c r="C30" s="160"/>
      <c r="D30" s="463">
        <v>27.80883</v>
      </c>
      <c r="E30" s="463">
        <v>12.896600000000001</v>
      </c>
      <c r="F30" s="464">
        <f>(SUMIF('Quarterly P&amp;L'!$D$2:$Q$2,F$5,'Quarterly P&amp;L'!$D29:$Q29))/$B$4</f>
        <v>339</v>
      </c>
      <c r="G30" s="464">
        <f>(SUMIF('Quarterly P&amp;L'!$D$2:$Q$2,G$5,'Quarterly P&amp;L'!$D29:$Q29))/$B$4</f>
        <v>936</v>
      </c>
      <c r="H30" s="464">
        <f>(SUMIF('Quarterly P&amp;L'!$D$2:$Q$2,H$5,'Quarterly P&amp;L'!$D29:$Q29))/$B$4</f>
        <v>3780</v>
      </c>
    </row>
    <row r="31" spans="1:12" ht="12.75">
      <c r="B31" s="12" t="s">
        <v>189</v>
      </c>
      <c r="C31" s="160"/>
      <c r="D31" s="465">
        <v>0</v>
      </c>
      <c r="E31" s="466">
        <v>0</v>
      </c>
      <c r="F31" s="467">
        <f>(SUMIF('Quarterly P&amp;L'!$D$2:$Q$2,F$5,'Quarterly P&amp;L'!$D30:$Q30))/$B$4</f>
        <v>120</v>
      </c>
      <c r="G31" s="467">
        <f>(SUMIF('Quarterly P&amp;L'!$D$2:$Q$2,G$5,'Quarterly P&amp;L'!$D30:$Q30))/$B$4</f>
        <v>624</v>
      </c>
      <c r="H31" s="467">
        <f>(SUMIF('Quarterly P&amp;L'!$D$2:$Q$2,H$5,'Quarterly P&amp;L'!$D30:$Q30))/$B$4</f>
        <v>1680</v>
      </c>
    </row>
    <row r="32" spans="1:12" ht="12.75">
      <c r="B32" s="12" t="s">
        <v>365</v>
      </c>
      <c r="C32" s="160"/>
      <c r="D32" s="468">
        <v>3.7298200000000001</v>
      </c>
      <c r="E32" s="468">
        <v>23.030899999999999</v>
      </c>
      <c r="F32" s="467">
        <f>(SUMIF('Quarterly P&amp;L'!$D$2:$Q$2,F$5,'Quarterly P&amp;L'!$D31:$Q31))/$B$4</f>
        <v>66.371743333333342</v>
      </c>
      <c r="G32" s="467">
        <f>(SUMIF('Quarterly P&amp;L'!$D$2:$Q$2,G$5,'Quarterly P&amp;L'!$D31:$Q31))/$B$4</f>
        <v>308.66341000000006</v>
      </c>
      <c r="H32" s="467">
        <f>(SUMIF('Quarterly P&amp;L'!$D$2:$Q$2,H$5,'Quarterly P&amp;L'!$D31:$Q31))/$B$4</f>
        <v>1133.2991700000002</v>
      </c>
      <c r="J32" s="201"/>
    </row>
    <row r="33" spans="1:10" ht="12.75">
      <c r="B33" s="12" t="s">
        <v>214</v>
      </c>
      <c r="C33" s="160"/>
      <c r="D33" s="468">
        <v>16.065000000000001</v>
      </c>
      <c r="E33" s="468">
        <v>23.401820000000001</v>
      </c>
      <c r="F33" s="473">
        <v>0</v>
      </c>
      <c r="G33" s="474">
        <v>0</v>
      </c>
      <c r="H33" s="474">
        <v>0</v>
      </c>
      <c r="J33" s="201"/>
    </row>
    <row r="34" spans="1:10" ht="12.75">
      <c r="A34" s="144" t="s">
        <v>47</v>
      </c>
      <c r="B34" s="19" t="s">
        <v>323</v>
      </c>
      <c r="C34" s="19"/>
      <c r="D34" s="469">
        <f>SUM(D30:D33)</f>
        <v>47.603650000000002</v>
      </c>
      <c r="E34" s="469">
        <f>SUM(E30:E33)</f>
        <v>59.329320000000003</v>
      </c>
      <c r="F34" s="469">
        <f>SUM(F30:F33)</f>
        <v>525.37174333333337</v>
      </c>
      <c r="G34" s="469">
        <f>SUM(G30:G33)</f>
        <v>1868.6634100000001</v>
      </c>
      <c r="H34" s="469">
        <f>SUM(H30:H33)</f>
        <v>6593.2991700000002</v>
      </c>
    </row>
    <row r="35" spans="1:10" ht="12.75">
      <c r="B35" s="434" t="s">
        <v>90</v>
      </c>
      <c r="C35" s="71"/>
      <c r="D35" s="430"/>
      <c r="E35" s="72"/>
      <c r="F35" s="73"/>
      <c r="G35" s="74">
        <f>G34/F34-1</f>
        <v>2.5568403396495318</v>
      </c>
      <c r="H35" s="74">
        <f>H34/G34-1</f>
        <v>2.5283503357086654</v>
      </c>
    </row>
    <row r="36" spans="1:10" ht="13.35" customHeight="1">
      <c r="C36" s="160"/>
      <c r="D36" s="392"/>
      <c r="E36" s="57"/>
      <c r="F36" s="64"/>
      <c r="G36" s="64"/>
      <c r="H36" s="64"/>
    </row>
    <row r="37" spans="1:10" ht="13.35" customHeight="1">
      <c r="B37" s="18" t="s">
        <v>316</v>
      </c>
    </row>
    <row r="38" spans="1:10" ht="13.35" customHeight="1">
      <c r="B38" s="12" t="s">
        <v>264</v>
      </c>
      <c r="C38" s="402"/>
      <c r="D38" s="477">
        <v>0</v>
      </c>
      <c r="E38" s="478">
        <f>49.5294+8*4</f>
        <v>81.52940000000001</v>
      </c>
      <c r="F38" s="464">
        <f>(SUMIF('Quarterly P&amp;L'!$D$2:$Q$2,F$5,'Quarterly P&amp;L'!$D34:$Q34))/$B$4+8*12</f>
        <v>100.8769875</v>
      </c>
      <c r="G38" s="464">
        <f>(SUMIF('Quarterly P&amp;L'!$D$2:$Q$2,G$5,'Quarterly P&amp;L'!$D34:$Q34))/$B$4</f>
        <v>170.96259999999998</v>
      </c>
      <c r="H38" s="464">
        <f>(SUMIF('Quarterly P&amp;L'!$D$2:$Q$2,H$5,'Quarterly P&amp;L'!$D34:$Q34))/$B$4</f>
        <v>1242.3371000000002</v>
      </c>
    </row>
    <row r="39" spans="1:10" ht="13.35" customHeight="1">
      <c r="A39" s="144" t="s">
        <v>47</v>
      </c>
      <c r="B39" s="19" t="s">
        <v>317</v>
      </c>
      <c r="C39" s="19"/>
      <c r="D39" s="475">
        <f>SUM(D38:D38)</f>
        <v>0</v>
      </c>
      <c r="E39" s="475">
        <f>SUM(E38:E38)</f>
        <v>81.52940000000001</v>
      </c>
      <c r="F39" s="469">
        <f>SUM(F38:F38)</f>
        <v>100.8769875</v>
      </c>
      <c r="G39" s="469">
        <f>SUM(G38:G38)</f>
        <v>170.96259999999998</v>
      </c>
      <c r="H39" s="469">
        <f>SUM(H38:H38)</f>
        <v>1242.3371000000002</v>
      </c>
      <c r="J39" s="453"/>
    </row>
    <row r="40" spans="1:10" ht="13.35" customHeight="1">
      <c r="B40" s="434" t="s">
        <v>90</v>
      </c>
      <c r="C40" s="71"/>
      <c r="D40" s="430"/>
      <c r="E40" s="74"/>
      <c r="F40" s="74"/>
      <c r="G40" s="74">
        <f>G39/F39-1</f>
        <v>0.69476313911535059</v>
      </c>
      <c r="H40" s="74">
        <f>H39/G39-1</f>
        <v>6.2667185688565823</v>
      </c>
    </row>
    <row r="41" spans="1:10" ht="13.35" customHeight="1">
      <c r="B41" s="3"/>
      <c r="C41" s="160"/>
      <c r="D41" s="392"/>
      <c r="E41" s="57"/>
      <c r="F41" s="64"/>
      <c r="G41" s="64"/>
      <c r="H41" s="64"/>
    </row>
    <row r="42" spans="1:10" ht="13.35" customHeight="1">
      <c r="A42" s="144" t="s">
        <v>47</v>
      </c>
      <c r="B42" s="75" t="s">
        <v>91</v>
      </c>
      <c r="C42" s="75"/>
      <c r="D42" s="456">
        <f>D39+D34</f>
        <v>47.603650000000002</v>
      </c>
      <c r="E42" s="76">
        <f>E39+E34</f>
        <v>140.85872000000001</v>
      </c>
      <c r="F42" s="76">
        <f>F39+F34</f>
        <v>626.24873083333341</v>
      </c>
      <c r="G42" s="76">
        <f>G39+G34</f>
        <v>2039.6260100000002</v>
      </c>
      <c r="H42" s="76">
        <f>H39+H34</f>
        <v>7835.6362700000009</v>
      </c>
    </row>
    <row r="43" spans="1:10" ht="13.35" customHeight="1">
      <c r="B43" s="77" t="s">
        <v>90</v>
      </c>
      <c r="C43" s="75"/>
      <c r="D43" s="431"/>
      <c r="E43" s="78">
        <f>E42/D42-1</f>
        <v>1.9589899093872005</v>
      </c>
      <c r="F43" s="78">
        <f>F42/E42-1</f>
        <v>3.4459351244518865</v>
      </c>
      <c r="G43" s="78">
        <f>G42/F42-1</f>
        <v>2.2568944407854068</v>
      </c>
      <c r="H43" s="78">
        <f>H42/G42-1</f>
        <v>2.8417024648553095</v>
      </c>
    </row>
    <row r="44" spans="1:10" ht="13.35" customHeight="1">
      <c r="B44" s="18"/>
      <c r="C44" s="18"/>
      <c r="D44" s="390"/>
      <c r="E44" s="58"/>
      <c r="F44" s="65"/>
      <c r="G44" s="65"/>
      <c r="H44" s="65"/>
    </row>
    <row r="45" spans="1:10" ht="13.35" customHeight="1">
      <c r="B45" s="18" t="s">
        <v>311</v>
      </c>
      <c r="C45" s="18"/>
      <c r="D45" s="390"/>
      <c r="E45" s="58"/>
      <c r="F45" s="65"/>
      <c r="G45" s="65"/>
      <c r="H45" s="65"/>
    </row>
    <row r="46" spans="1:10" ht="13.35" customHeight="1">
      <c r="B46" s="12" t="str">
        <f>'Quarterly P&amp;L'!B41</f>
        <v>Non-reimbursable Diligence Costs</v>
      </c>
      <c r="C46" s="578"/>
      <c r="D46" s="466">
        <v>0</v>
      </c>
      <c r="E46" s="466">
        <v>0</v>
      </c>
      <c r="F46" s="464">
        <f>(SUMIF('Quarterly P&amp;L'!$D$2:$Q$2,F$5,'Quarterly P&amp;L'!$D41:$Q41))/$B$4</f>
        <v>-60</v>
      </c>
      <c r="G46" s="464">
        <f>(SUMIF('Quarterly P&amp;L'!$D$2:$Q$2,G$5,'Quarterly P&amp;L'!$D41:$Q41))/$B$4</f>
        <v>-312</v>
      </c>
      <c r="H46" s="464">
        <f>(SUMIF('Quarterly P&amp;L'!$D$2:$Q$2,H$5,'Quarterly P&amp;L'!$D41:$Q41))/$B$4</f>
        <v>-840</v>
      </c>
    </row>
    <row r="47" spans="1:10" ht="13.35" customHeight="1">
      <c r="B47" s="165" t="s">
        <v>313</v>
      </c>
      <c r="C47" s="165"/>
      <c r="D47" s="476"/>
      <c r="E47" s="476"/>
      <c r="F47" s="472">
        <f t="shared" ref="F47:H47" si="1">SUM(F46)</f>
        <v>-60</v>
      </c>
      <c r="G47" s="472">
        <f t="shared" si="1"/>
        <v>-312</v>
      </c>
      <c r="H47" s="472">
        <f t="shared" si="1"/>
        <v>-840</v>
      </c>
    </row>
    <row r="48" spans="1:10" ht="13.35" customHeight="1">
      <c r="B48" s="70" t="s">
        <v>314</v>
      </c>
      <c r="C48" s="24"/>
      <c r="D48" s="67">
        <f>-D47/D34</f>
        <v>0</v>
      </c>
      <c r="E48" s="67">
        <f>-E47/E34</f>
        <v>0</v>
      </c>
      <c r="F48" s="67">
        <f>-F47/F34</f>
        <v>0.11420484782702087</v>
      </c>
      <c r="G48" s="67">
        <f>-G47/G34</f>
        <v>0.16696425815925833</v>
      </c>
      <c r="H48" s="67">
        <f>-H47/H34</f>
        <v>0.12740207570468851</v>
      </c>
    </row>
    <row r="49" spans="1:10" ht="13.35" customHeight="1">
      <c r="B49" s="18"/>
      <c r="C49" s="18"/>
      <c r="D49" s="390"/>
      <c r="E49" s="58"/>
      <c r="F49" s="65"/>
      <c r="G49" s="65"/>
      <c r="H49" s="65"/>
    </row>
    <row r="50" spans="1:10" ht="13.35" customHeight="1">
      <c r="A50" s="144" t="s">
        <v>47</v>
      </c>
      <c r="B50" s="18" t="s">
        <v>35</v>
      </c>
      <c r="D50" s="392"/>
      <c r="E50" s="55"/>
      <c r="F50" s="62"/>
      <c r="G50" s="62"/>
      <c r="H50" s="62"/>
    </row>
    <row r="51" spans="1:10" ht="13.35" customHeight="1">
      <c r="B51" s="12" t="str">
        <f>'Quarterly P&amp;L'!B45</f>
        <v>Executive Team</v>
      </c>
      <c r="D51" s="470">
        <v>0</v>
      </c>
      <c r="E51" s="492">
        <v>0</v>
      </c>
      <c r="F51" s="471">
        <f>(SUMIF('Quarterly P&amp;L'!$D$2:$Q$2,F$5,'Quarterly P&amp;L'!$D45:$Q45))/1000</f>
        <v>-130</v>
      </c>
      <c r="G51" s="471">
        <f>(SUMIF('Quarterly P&amp;L'!$D$2:$Q$2,G$5,'Quarterly P&amp;L'!$D45:$Q45))/1000</f>
        <v>-409.5</v>
      </c>
      <c r="H51" s="471">
        <f>(SUMIF('Quarterly P&amp;L'!$D$2:$Q$2,H$5,'Quarterly P&amp;L'!$D45:$Q45))/1000</f>
        <v>-429.97500000000002</v>
      </c>
    </row>
    <row r="52" spans="1:10" ht="13.35" customHeight="1">
      <c r="B52" s="12" t="str">
        <f>'Quarterly P&amp;L'!B46</f>
        <v>Business Development and Marketing Teams</v>
      </c>
      <c r="D52" s="465">
        <v>-29.725900000000003</v>
      </c>
      <c r="E52" s="491">
        <v>-68.329555085257169</v>
      </c>
      <c r="F52" s="467">
        <f>(SUMIF('Quarterly P&amp;L'!$D$2:$Q$2,F$5,'Quarterly P&amp;L'!$D46:$Q46))/1000</f>
        <v>-188.33333333333334</v>
      </c>
      <c r="G52" s="467">
        <f>(SUMIF('Quarterly P&amp;L'!$D$2:$Q$2,G$5,'Quarterly P&amp;L'!$D46:$Q46))/1000</f>
        <v>-420</v>
      </c>
      <c r="H52" s="467">
        <f>(SUMIF('Quarterly P&amp;L'!$D$2:$Q$2,H$5,'Quarterly P&amp;L'!$D46:$Q46))/1000</f>
        <v>-887.97187499999995</v>
      </c>
    </row>
    <row r="53" spans="1:10" ht="13.35" customHeight="1">
      <c r="B53" s="12" t="str">
        <f>'Quarterly P&amp;L'!B47</f>
        <v>Lending Team: Finance, Legal &amp; Farm Stewards</v>
      </c>
      <c r="D53" s="465">
        <v>-61.604600582313026</v>
      </c>
      <c r="E53" s="491">
        <v>-223.68615209924508</v>
      </c>
      <c r="F53" s="467">
        <f>(SUMIF('Quarterly P&amp;L'!$D$2:$Q$2,F$5,'Quarterly P&amp;L'!$D47:$Q47))/1000</f>
        <v>-283.33333333333331</v>
      </c>
      <c r="G53" s="467">
        <f>(SUMIF('Quarterly P&amp;L'!$D$2:$Q$2,G$5,'Quarterly P&amp;L'!$D47:$Q47))/1000</f>
        <v>-582.75</v>
      </c>
      <c r="H53" s="467">
        <f>(SUMIF('Quarterly P&amp;L'!$D$2:$Q$2,H$5,'Quarterly P&amp;L'!$D47:$Q47))/1000</f>
        <v>-1041.8625</v>
      </c>
    </row>
    <row r="54" spans="1:10" ht="13.35" customHeight="1">
      <c r="B54" s="12" t="str">
        <f>'Quarterly P&amp;L'!B48</f>
        <v>SaaS / Technology Team</v>
      </c>
      <c r="D54" s="465">
        <v>-144.82557999999995</v>
      </c>
      <c r="E54" s="491">
        <v>-252.05939999999998</v>
      </c>
      <c r="F54" s="467">
        <f>(SUMIF('Quarterly P&amp;L'!$D$2:$Q$2,F$5,'Quarterly P&amp;L'!$D48:$Q48))/1000</f>
        <v>-573.33333333333337</v>
      </c>
      <c r="G54" s="467">
        <f>(SUMIF('Quarterly P&amp;L'!$D$2:$Q$2,G$5,'Quarterly P&amp;L'!$D48:$Q48))/1000</f>
        <v>-803.25</v>
      </c>
      <c r="H54" s="467">
        <f>(SUMIF('Quarterly P&amp;L'!$D$2:$Q$2,H$5,'Quarterly P&amp;L'!$D48:$Q48))/1000</f>
        <v>-1135.575</v>
      </c>
    </row>
    <row r="55" spans="1:10" ht="13.35" customHeight="1">
      <c r="B55" s="12" t="str">
        <f>'Quarterly P&amp;L'!B49</f>
        <v>Operations &amp; Administrative Team</v>
      </c>
      <c r="D55" s="465">
        <v>-180.30074467212904</v>
      </c>
      <c r="E55" s="491">
        <v>-267.45374768118893</v>
      </c>
      <c r="F55" s="467">
        <f>(SUMIF('Quarterly P&amp;L'!$D$2:$Q$2,F$5,'Quarterly P&amp;L'!$D49:$Q49))/1000</f>
        <v>-312.33333333333337</v>
      </c>
      <c r="G55" s="467">
        <f>(SUMIF('Quarterly P&amp;L'!$D$2:$Q$2,G$5,'Quarterly P&amp;L'!$D49:$Q49))/1000</f>
        <v>-664.65</v>
      </c>
      <c r="H55" s="467">
        <f>(SUMIF('Quarterly P&amp;L'!$D$2:$Q$2,H$5,'Quarterly P&amp;L'!$D49:$Q49))/1000</f>
        <v>-922.97625000000005</v>
      </c>
    </row>
    <row r="56" spans="1:10" ht="13.35" customHeight="1">
      <c r="B56" s="12" t="str">
        <f>'Quarterly P&amp;L'!B50</f>
        <v>SaaS: Team Bonus Pool (5.00% of rev)</v>
      </c>
      <c r="D56" s="465">
        <v>0</v>
      </c>
      <c r="E56" s="491">
        <v>0</v>
      </c>
      <c r="F56" s="467">
        <f>(SUMIF('Quarterly P&amp;L'!$D$2:$Q$2,F$5,'Quarterly P&amp;L'!$D50:$Q50))/1000</f>
        <v>0</v>
      </c>
      <c r="G56" s="467">
        <f>(SUMIF('Quarterly P&amp;L'!$D$2:$Q$2,G$5,'Quarterly P&amp;L'!$D50:$Q50))/1000</f>
        <v>0</v>
      </c>
      <c r="H56" s="467">
        <f>(SUMIF('Quarterly P&amp;L'!$D$2:$Q$2,H$5,'Quarterly P&amp;L'!$D50:$Q50))/1000</f>
        <v>-329.66495850000001</v>
      </c>
    </row>
    <row r="57" spans="1:10" ht="13.35" customHeight="1">
      <c r="B57" s="12" t="str">
        <f>'Quarterly P&amp;L'!B51</f>
        <v>Lending: Team Bonus Pool (5.00% of rev)</v>
      </c>
      <c r="D57" s="465">
        <v>0</v>
      </c>
      <c r="E57" s="491">
        <v>0</v>
      </c>
      <c r="F57" s="467">
        <f>(SUMIF('Quarterly P&amp;L'!$D$2:$Q$2,F$5,'Quarterly P&amp;L'!$D51:$Q51))/1000</f>
        <v>0</v>
      </c>
      <c r="G57" s="467">
        <f>(SUMIF('Quarterly P&amp;L'!$D$2:$Q$2,G$5,'Quarterly P&amp;L'!$D51:$Q51))/1000</f>
        <v>0</v>
      </c>
      <c r="H57" s="467">
        <f>(SUMIF('Quarterly P&amp;L'!$D$2:$Q$2,H$5,'Quarterly P&amp;L'!$D51:$Q51))/1000</f>
        <v>-62.116855000000008</v>
      </c>
      <c r="J57" s="22"/>
    </row>
    <row r="58" spans="1:10" ht="13.35" customHeight="1">
      <c r="B58" s="165" t="s">
        <v>40</v>
      </c>
      <c r="C58" s="165"/>
      <c r="D58" s="476">
        <f>SUM(D51:D57)</f>
        <v>-416.45682525444204</v>
      </c>
      <c r="E58" s="476">
        <f>SUM(E51:E57)</f>
        <v>-811.52885486569119</v>
      </c>
      <c r="F58" s="472">
        <f>SUM(F51:F57)</f>
        <v>-1487.3333333333335</v>
      </c>
      <c r="G58" s="472">
        <f>SUM(G51:G57)</f>
        <v>-2880.15</v>
      </c>
      <c r="H58" s="472">
        <f>SUM(H51:H57)</f>
        <v>-4810.1424384999991</v>
      </c>
    </row>
    <row r="59" spans="1:10" ht="13.35" customHeight="1">
      <c r="B59" s="70" t="s">
        <v>88</v>
      </c>
      <c r="C59" s="24"/>
      <c r="D59" s="67">
        <f>-D58/D42</f>
        <v>8.7484221326398721</v>
      </c>
      <c r="E59" s="67">
        <f>-E58/E42</f>
        <v>5.7612965307770168</v>
      </c>
      <c r="F59" s="67">
        <f>-F58/F42</f>
        <v>2.3749881797830974</v>
      </c>
      <c r="G59" s="67">
        <f>-G58/G42</f>
        <v>1.4120971128427606</v>
      </c>
      <c r="H59" s="67">
        <f>-H58/H42</f>
        <v>0.6138802609963413</v>
      </c>
    </row>
    <row r="60" spans="1:10" ht="5.0999999999999996" customHeight="1">
      <c r="D60" s="392"/>
      <c r="E60" s="55"/>
      <c r="F60" s="62"/>
      <c r="G60" s="62"/>
      <c r="H60" s="62"/>
    </row>
    <row r="61" spans="1:10" ht="13.35" customHeight="1">
      <c r="B61" s="18" t="s">
        <v>38</v>
      </c>
      <c r="C61" s="18"/>
      <c r="D61" s="390"/>
      <c r="E61" s="58"/>
      <c r="F61" s="65"/>
      <c r="G61" s="65"/>
      <c r="H61" s="65"/>
    </row>
    <row r="62" spans="1:10" ht="13.35" customHeight="1">
      <c r="B62" s="12" t="str">
        <f>'Quarterly P&amp;L'!B55</f>
        <v>Payroll Tax + Benefits</v>
      </c>
      <c r="D62" s="470">
        <v>-29.829799657851833</v>
      </c>
      <c r="E62" s="492">
        <v>-37.687904824383089</v>
      </c>
      <c r="F62" s="471">
        <f>(SUMIF('Quarterly P&amp;L'!$D$2:$Q$2,F$5,'Quarterly P&amp;L'!$D55:$Q55))/1000</f>
        <v>-252.84666666666669</v>
      </c>
      <c r="G62" s="471">
        <f>(SUMIF('Quarterly P&amp;L'!$D$2:$Q$2,G$5,'Quarterly P&amp;L'!$D55:$Q55))/1000</f>
        <v>-489.62549999999999</v>
      </c>
      <c r="H62" s="471">
        <f>(SUMIF('Quarterly P&amp;L'!$D$2:$Q$2,H$5,'Quarterly P&amp;L'!$D55:$Q55))/1000</f>
        <v>-751.12130625000009</v>
      </c>
    </row>
    <row r="63" spans="1:10" ht="13.35" customHeight="1">
      <c r="B63" s="12" t="str">
        <f>'Quarterly P&amp;L'!B56</f>
        <v>Legal &amp; Compliance</v>
      </c>
      <c r="D63" s="465">
        <v>-59.19614164481581</v>
      </c>
      <c r="E63" s="491">
        <v>-27.603363678768392</v>
      </c>
      <c r="F63" s="467">
        <f>(SUMIF('Quarterly P&amp;L'!$D$2:$Q$2,F$5,'Quarterly P&amp;L'!$D56:$Q56))/1000</f>
        <v>-30</v>
      </c>
      <c r="G63" s="467">
        <f>(SUMIF('Quarterly P&amp;L'!$D$2:$Q$2,G$5,'Quarterly P&amp;L'!$D56:$Q56))/1000</f>
        <v>-30.9</v>
      </c>
      <c r="H63" s="467">
        <f>(SUMIF('Quarterly P&amp;L'!$D$2:$Q$2,H$5,'Quarterly P&amp;L'!$D56:$Q56))/1000</f>
        <v>-31.827000000000002</v>
      </c>
    </row>
    <row r="64" spans="1:10" ht="13.35" customHeight="1">
      <c r="B64" s="12" t="str">
        <f>'Quarterly P&amp;L'!B57</f>
        <v xml:space="preserve">Regulatory </v>
      </c>
      <c r="D64" s="465">
        <v>-96.182690000000008</v>
      </c>
      <c r="E64" s="491">
        <v>0</v>
      </c>
      <c r="F64" s="467">
        <f>(SUMIF('Quarterly P&amp;L'!$D$2:$Q$2,F$5,'Quarterly P&amp;L'!$D57:$Q57))/1000</f>
        <v>-24</v>
      </c>
      <c r="G64" s="467">
        <f>(SUMIF('Quarterly P&amp;L'!$D$2:$Q$2,G$5,'Quarterly P&amp;L'!$D57:$Q57))/1000</f>
        <v>-24.72</v>
      </c>
      <c r="H64" s="467">
        <f>(SUMIF('Quarterly P&amp;L'!$D$2:$Q$2,H$5,'Quarterly P&amp;L'!$D57:$Q57))/1000</f>
        <v>-25.461600000000001</v>
      </c>
    </row>
    <row r="65" spans="1:11" ht="13.35" customHeight="1">
      <c r="B65" s="12" t="str">
        <f>'Quarterly P&amp;L'!B58</f>
        <v>Office Rent</v>
      </c>
      <c r="D65" s="465">
        <v>-68.863</v>
      </c>
      <c r="E65" s="491">
        <v>-40.378394412069468</v>
      </c>
      <c r="F65" s="467">
        <f>(SUMIF('Quarterly P&amp;L'!$D$2:$Q$2,F$5,'Quarterly P&amp;L'!$D58:$Q58))/1000</f>
        <v>-72</v>
      </c>
      <c r="G65" s="467">
        <f>(SUMIF('Quarterly P&amp;L'!$D$2:$Q$2,G$5,'Quarterly P&amp;L'!$D58:$Q58))/1000</f>
        <v>-74.16</v>
      </c>
      <c r="H65" s="467">
        <f>(SUMIF('Quarterly P&amp;L'!$D$2:$Q$2,H$5,'Quarterly P&amp;L'!$D58:$Q58))/1000</f>
        <v>-76.384799999999998</v>
      </c>
    </row>
    <row r="66" spans="1:11" ht="13.35" customHeight="1">
      <c r="B66" s="12" t="str">
        <f>'Quarterly P&amp;L'!B59</f>
        <v>Public Relations</v>
      </c>
      <c r="D66" s="465">
        <v>0</v>
      </c>
      <c r="E66" s="491">
        <v>-56.569000000000003</v>
      </c>
      <c r="F66" s="467">
        <f>(SUMIF('Quarterly P&amp;L'!$D$2:$Q$2,F$5,'Quarterly P&amp;L'!$D59:$Q59))/1000</f>
        <v>-48</v>
      </c>
      <c r="G66" s="467">
        <f>(SUMIF('Quarterly P&amp;L'!$D$2:$Q$2,G$5,'Quarterly P&amp;L'!$D59:$Q59))/1000</f>
        <v>-49.44</v>
      </c>
      <c r="H66" s="467">
        <f>(SUMIF('Quarterly P&amp;L'!$D$2:$Q$2,H$5,'Quarterly P&amp;L'!$D59:$Q59))/1000</f>
        <v>-50.923200000000001</v>
      </c>
      <c r="K66" s="25"/>
    </row>
    <row r="67" spans="1:11" ht="13.35" customHeight="1">
      <c r="B67" s="12" t="str">
        <f>'Quarterly P&amp;L'!B60</f>
        <v>Direct Marketing - Farms</v>
      </c>
      <c r="D67" s="465">
        <v>-3.82165</v>
      </c>
      <c r="E67" s="491">
        <v>-63.61652999999999</v>
      </c>
      <c r="F67" s="467">
        <f>(SUMIF('Quarterly P&amp;L'!$D$2:$Q$2,F$5,'Quarterly P&amp;L'!$D60:$Q60))/1000</f>
        <v>-18.707976145496453</v>
      </c>
      <c r="G67" s="467">
        <f>(SUMIF('Quarterly P&amp;L'!$D$2:$Q$2,G$5,'Quarterly P&amp;L'!$D60:$Q60))/1000</f>
        <v>-51.072774877205319</v>
      </c>
      <c r="H67" s="467">
        <f>(SUMIF('Quarterly P&amp;L'!$D$2:$Q$2,H$5,'Quarterly P&amp;L'!$D60:$Q60))/1000</f>
        <v>-99.002609761967236</v>
      </c>
      <c r="K67" s="25"/>
    </row>
    <row r="68" spans="1:11" ht="13.35" customHeight="1">
      <c r="B68" s="12" t="s">
        <v>265</v>
      </c>
      <c r="D68" s="465">
        <v>0</v>
      </c>
      <c r="E68" s="491">
        <v>0</v>
      </c>
      <c r="F68" s="467">
        <f>(SUMIF('Quarterly P&amp;L'!$D$2:$Q$2,F$5,'Quarterly P&amp;L'!$D61:$Q61))/1000</f>
        <v>-21.526883785310776</v>
      </c>
      <c r="G68" s="467">
        <f>(SUMIF('Quarterly P&amp;L'!$D$2:$Q$2,G$5,'Quarterly P&amp;L'!$D61:$Q61))/1000</f>
        <v>-53.348305084745867</v>
      </c>
      <c r="H68" s="467">
        <f>(SUMIF('Quarterly P&amp;L'!$D$2:$Q$2,H$5,'Quarterly P&amp;L'!$D61:$Q61))/1000</f>
        <v>-180.20113970339014</v>
      </c>
    </row>
    <row r="69" spans="1:11" ht="13.35" customHeight="1">
      <c r="B69" s="12" t="s">
        <v>266</v>
      </c>
      <c r="D69" s="465">
        <v>-226.00117908049558</v>
      </c>
      <c r="E69" s="491">
        <v>-54.104320000000001</v>
      </c>
      <c r="F69" s="467">
        <f>(SUMIF('Quarterly P&amp;L'!$D$2:$Q$2,F$5,'Quarterly P&amp;L'!$D62:$Q62))/1000</f>
        <v>-18</v>
      </c>
      <c r="G69" s="467">
        <f>(SUMIF('Quarterly P&amp;L'!$D$2:$Q$2,G$5,'Quarterly P&amp;L'!$D62:$Q62))/1000</f>
        <v>-18.54</v>
      </c>
      <c r="H69" s="467">
        <f>(SUMIF('Quarterly P&amp;L'!$D$2:$Q$2,H$5,'Quarterly P&amp;L'!$D62:$Q62))/1000</f>
        <v>-19.0962</v>
      </c>
    </row>
    <row r="70" spans="1:11" ht="13.35" customHeight="1">
      <c r="B70" s="12" t="s">
        <v>267</v>
      </c>
      <c r="D70" s="465">
        <v>-161.38051000000002</v>
      </c>
      <c r="E70" s="491">
        <v>-99.125319999999988</v>
      </c>
      <c r="F70" s="467">
        <f>(SUMIF('Quarterly P&amp;L'!$D$2:$Q$2,F$5,'Quarterly P&amp;L'!$D63:$Q63))/1000</f>
        <v>-12</v>
      </c>
      <c r="G70" s="467">
        <f>(SUMIF('Quarterly P&amp;L'!$D$2:$Q$2,G$5,'Quarterly P&amp;L'!$D63:$Q63))/1000</f>
        <v>-12.36</v>
      </c>
      <c r="H70" s="467">
        <f>(SUMIF('Quarterly P&amp;L'!$D$2:$Q$2,H$5,'Quarterly P&amp;L'!$D63:$Q63))/1000</f>
        <v>-12.7308</v>
      </c>
    </row>
    <row r="71" spans="1:11" ht="13.35" customHeight="1">
      <c r="B71" s="12" t="str">
        <f>'Quarterly P&amp;L'!B64</f>
        <v>Supplies + CPU + Phone</v>
      </c>
      <c r="D71" s="465">
        <v>-42.85333755667375</v>
      </c>
      <c r="E71" s="491">
        <v>-96.677688180794945</v>
      </c>
      <c r="F71" s="467">
        <f>(SUMIF('Quarterly P&amp;L'!$D$2:$Q$2,F$5,'Quarterly P&amp;L'!$D64:$Q64))/1000</f>
        <v>-60</v>
      </c>
      <c r="G71" s="467">
        <f>(SUMIF('Quarterly P&amp;L'!$D$2:$Q$2,G$5,'Quarterly P&amp;L'!$D64:$Q64))/1000</f>
        <v>-61.8</v>
      </c>
      <c r="H71" s="467">
        <f>(SUMIF('Quarterly P&amp;L'!$D$2:$Q$2,H$5,'Quarterly P&amp;L'!$D64:$Q64))/1000</f>
        <v>-63.654000000000003</v>
      </c>
    </row>
    <row r="72" spans="1:11" ht="13.35" customHeight="1">
      <c r="B72" s="12" t="str">
        <f>'Quarterly P&amp;L'!B65</f>
        <v>Travel, Entertainment, Conference  Expenses</v>
      </c>
      <c r="D72" s="493">
        <v>-28.524686018577235</v>
      </c>
      <c r="E72" s="491">
        <v>-27.165557919361515</v>
      </c>
      <c r="F72" s="467">
        <f>(SUMIF('Quarterly P&amp;L'!$D$2:$Q$2,F$5,'Quarterly P&amp;L'!$D65:$Q65))/1000</f>
        <v>-36</v>
      </c>
      <c r="G72" s="467">
        <f>(SUMIF('Quarterly P&amp;L'!$D$2:$Q$2,G$5,'Quarterly P&amp;L'!$D65:$Q65))/1000</f>
        <v>-37.08</v>
      </c>
      <c r="H72" s="467">
        <f>(SUMIF('Quarterly P&amp;L'!$D$2:$Q$2,H$5,'Quarterly P&amp;L'!$D65:$Q65))/1000</f>
        <v>-38.192399999999999</v>
      </c>
    </row>
    <row r="73" spans="1:11" ht="13.35" customHeight="1">
      <c r="B73" s="12" t="str">
        <f>'Quarterly P&amp;L'!B66</f>
        <v>Other Expenses</v>
      </c>
      <c r="D73" s="494">
        <v>10.702</v>
      </c>
      <c r="E73" s="491">
        <v>-15.687462620960488</v>
      </c>
      <c r="F73" s="467">
        <f>(SUMIF('Quarterly P&amp;L'!$D$2:$Q$2,F$5,'Quarterly P&amp;L'!$D66:$Q66))/1000</f>
        <v>-12</v>
      </c>
      <c r="G73" s="467">
        <f>(SUMIF('Quarterly P&amp;L'!$D$2:$Q$2,G$5,'Quarterly P&amp;L'!$D66:$Q66))/1000</f>
        <v>-12.36</v>
      </c>
      <c r="H73" s="467">
        <f>(SUMIF('Quarterly P&amp;L'!$D$2:$Q$2,H$5,'Quarterly P&amp;L'!$D66:$Q66))/1000</f>
        <v>-12.7308</v>
      </c>
    </row>
    <row r="74" spans="1:11" ht="13.35" customHeight="1">
      <c r="A74" s="144" t="s">
        <v>47</v>
      </c>
      <c r="B74" s="165" t="s">
        <v>41</v>
      </c>
      <c r="C74" s="165"/>
      <c r="D74" s="476">
        <f>SUM(D62:D73)</f>
        <v>-705.95099395841419</v>
      </c>
      <c r="E74" s="476">
        <f>SUM(E62:E73)</f>
        <v>-518.61554163633787</v>
      </c>
      <c r="F74" s="66">
        <f>SUM(F62:F73)</f>
        <v>-605.08152659747384</v>
      </c>
      <c r="G74" s="66">
        <f>SUM(G62:G73)</f>
        <v>-915.40657996195114</v>
      </c>
      <c r="H74" s="66">
        <f>SUM(H62:H73)</f>
        <v>-1361.3258557153572</v>
      </c>
    </row>
    <row r="75" spans="1:11" ht="13.35" customHeight="1">
      <c r="B75" s="70" t="s">
        <v>88</v>
      </c>
      <c r="C75" s="24"/>
      <c r="D75" s="67">
        <f>-D74/D42</f>
        <v>14.829766077988015</v>
      </c>
      <c r="E75" s="67">
        <f>-E74/E42</f>
        <v>3.6818135337048203</v>
      </c>
      <c r="F75" s="67">
        <f>-F74/F42</f>
        <v>0.96620000457694677</v>
      </c>
      <c r="G75" s="67">
        <f>-G74/G42</f>
        <v>0.4488109954834078</v>
      </c>
      <c r="H75" s="67">
        <f>-H74/H42</f>
        <v>0.17373520270809573</v>
      </c>
    </row>
    <row r="76" spans="1:11" ht="5.0999999999999996" customHeight="1">
      <c r="D76" s="392"/>
      <c r="E76" s="55"/>
      <c r="F76" s="62"/>
      <c r="G76" s="62"/>
      <c r="H76" s="62"/>
    </row>
    <row r="77" spans="1:11" ht="5.0999999999999996" customHeight="1">
      <c r="D77" s="392"/>
      <c r="E77" s="55"/>
      <c r="F77" s="62"/>
      <c r="G77" s="62"/>
      <c r="H77" s="62"/>
    </row>
    <row r="78" spans="1:11" ht="13.35" customHeight="1">
      <c r="A78" s="144" t="s">
        <v>47</v>
      </c>
      <c r="B78" s="162" t="s">
        <v>67</v>
      </c>
      <c r="C78" s="162"/>
      <c r="D78" s="68">
        <f t="shared" ref="D78:H78" si="2">SUM(D42,D58,D74,D47)</f>
        <v>-1074.8041692128563</v>
      </c>
      <c r="E78" s="68">
        <f t="shared" si="2"/>
        <v>-1189.285676502029</v>
      </c>
      <c r="F78" s="68">
        <f t="shared" si="2"/>
        <v>-1526.1661290974739</v>
      </c>
      <c r="G78" s="68">
        <f t="shared" si="2"/>
        <v>-2067.9305699619508</v>
      </c>
      <c r="H78" s="68">
        <f t="shared" si="2"/>
        <v>824.16797578464457</v>
      </c>
    </row>
    <row r="79" spans="1:11" ht="13.35" customHeight="1">
      <c r="B79" s="162" t="s">
        <v>68</v>
      </c>
      <c r="C79" s="162"/>
      <c r="D79" s="68"/>
      <c r="E79" s="68"/>
      <c r="F79" s="68">
        <f>SUM(F78,E79)</f>
        <v>-1526.1661290974739</v>
      </c>
      <c r="G79" s="68">
        <f>SUM(G78,F79)</f>
        <v>-3594.0966990594247</v>
      </c>
      <c r="H79" s="68">
        <f>SUM(H78,G79)</f>
        <v>-2769.9287232747802</v>
      </c>
    </row>
    <row r="80" spans="1:11" ht="13.35" customHeight="1">
      <c r="B80" s="69" t="s">
        <v>74</v>
      </c>
      <c r="C80" s="27"/>
      <c r="D80" s="495" t="s">
        <v>239</v>
      </c>
      <c r="E80" s="495" t="s">
        <v>239</v>
      </c>
      <c r="F80" s="488">
        <f>F78/F42</f>
        <v>-2.4369967617605277</v>
      </c>
      <c r="G80" s="489">
        <f>G78/G42</f>
        <v>-1.0138773284039218</v>
      </c>
      <c r="H80" s="490">
        <f>H78/H42</f>
        <v>0.10518201041823556</v>
      </c>
    </row>
    <row r="81" spans="1:9" ht="13.35" customHeight="1">
      <c r="D81" s="392"/>
      <c r="F81" s="17"/>
    </row>
    <row r="82" spans="1:9" ht="13.35" customHeight="1">
      <c r="A82" s="144" t="s">
        <v>47</v>
      </c>
      <c r="B82" s="18" t="s">
        <v>326</v>
      </c>
      <c r="C82" s="18"/>
      <c r="D82" s="390"/>
      <c r="E82" s="18"/>
      <c r="F82" s="21"/>
      <c r="G82" s="18"/>
      <c r="H82" s="18"/>
    </row>
    <row r="83" spans="1:9" ht="13.35" customHeight="1">
      <c r="B83" s="12" t="s">
        <v>329</v>
      </c>
      <c r="C83" s="18"/>
      <c r="D83" s="390"/>
      <c r="E83" s="15">
        <f>E7/D7-1</f>
        <v>1</v>
      </c>
      <c r="F83" s="15">
        <f>F7/E7-1</f>
        <v>0.25</v>
      </c>
      <c r="G83" s="15">
        <f>G7/F7-1</f>
        <v>2</v>
      </c>
      <c r="H83" s="15">
        <f>H7/G7-1</f>
        <v>1</v>
      </c>
    </row>
    <row r="84" spans="1:9" ht="13.35" customHeight="1">
      <c r="B84" s="12" t="s">
        <v>237</v>
      </c>
      <c r="D84" s="392"/>
      <c r="E84" s="15"/>
      <c r="F84" s="15">
        <f>F25/E25-1</f>
        <v>0.75937499999999991</v>
      </c>
      <c r="G84" s="15">
        <f>G25/F25-1</f>
        <v>11.865008880994671</v>
      </c>
      <c r="H84" s="15">
        <f>H25/G25-1</f>
        <v>3.8105757282893835</v>
      </c>
    </row>
    <row r="85" spans="1:9" ht="13.35" customHeight="1">
      <c r="B85" s="12" t="s">
        <v>236</v>
      </c>
      <c r="D85" s="392"/>
      <c r="E85" s="15">
        <f>E18/D18-1</f>
        <v>-0.36552279637498819</v>
      </c>
      <c r="F85" s="16">
        <f>F18/E18-1</f>
        <v>11.212010795763371</v>
      </c>
      <c r="G85" s="15">
        <f>G18/F18-1</f>
        <v>1.7610619469026547</v>
      </c>
      <c r="H85" s="15">
        <f>H18/G18-1</f>
        <v>3.0384615384615383</v>
      </c>
    </row>
    <row r="86" spans="1:9" ht="13.35" customHeight="1">
      <c r="B86" s="28"/>
      <c r="C86" s="28"/>
      <c r="D86" s="432"/>
      <c r="E86" s="29"/>
      <c r="F86" s="30"/>
      <c r="G86" s="29"/>
      <c r="H86" s="29"/>
    </row>
    <row r="87" spans="1:9" s="34" customFormat="1" ht="13.35" customHeight="1">
      <c r="B87" s="31"/>
      <c r="C87" s="31"/>
      <c r="D87" s="433"/>
      <c r="E87" s="32"/>
      <c r="F87" s="33"/>
      <c r="G87" s="15"/>
      <c r="H87" s="15"/>
    </row>
    <row r="88" spans="1:9" ht="13.35" customHeight="1">
      <c r="B88" s="144" t="s">
        <v>235</v>
      </c>
      <c r="D88" s="579" t="s">
        <v>238</v>
      </c>
      <c r="E88" s="579" t="s">
        <v>238</v>
      </c>
      <c r="F88" s="579">
        <f>F38*1000/F25</f>
        <v>7167.1039076376555</v>
      </c>
      <c r="G88" s="580">
        <f>G38*1000/G25</f>
        <v>944.15352754383537</v>
      </c>
      <c r="H88" s="580">
        <f>H38*1000/H25</f>
        <v>1426.2114054472922</v>
      </c>
    </row>
    <row r="89" spans="1:9" ht="13.35" customHeight="1">
      <c r="B89" s="144" t="s">
        <v>234</v>
      </c>
      <c r="D89" s="581">
        <f>D34/D20</f>
        <v>3.2641117008575006E-2</v>
      </c>
      <c r="E89" s="581">
        <f>E34/E20</f>
        <v>2.4889447822508931E-2</v>
      </c>
      <c r="F89" s="581">
        <f>F34/F20</f>
        <v>3.7616992405765645E-2</v>
      </c>
      <c r="G89" s="582">
        <f>G34/G20</f>
        <v>4.1372919936109059E-2</v>
      </c>
      <c r="H89" s="582">
        <f>H34/H20</f>
        <v>3.8568573200868671E-2</v>
      </c>
    </row>
    <row r="90" spans="1:9" s="31" customFormat="1" ht="13.35" customHeight="1">
      <c r="B90" s="28"/>
      <c r="C90" s="28"/>
      <c r="D90" s="432"/>
      <c r="E90" s="29"/>
      <c r="F90" s="30"/>
      <c r="G90" s="29"/>
      <c r="H90" s="29"/>
      <c r="I90" s="144"/>
    </row>
    <row r="91" spans="1:9" s="31" customFormat="1" ht="13.35" customHeight="1">
      <c r="D91" s="433"/>
      <c r="E91" s="15"/>
      <c r="F91" s="16"/>
      <c r="G91" s="15"/>
      <c r="H91" s="15"/>
      <c r="I91" s="144"/>
    </row>
    <row r="92" spans="1:9" s="31" customFormat="1" ht="13.35" customHeight="1">
      <c r="A92" s="31" t="s">
        <v>47</v>
      </c>
      <c r="B92" s="18" t="s">
        <v>240</v>
      </c>
      <c r="D92" s="433"/>
      <c r="E92" s="15"/>
      <c r="F92" s="16"/>
      <c r="G92" s="15"/>
      <c r="H92" s="15"/>
      <c r="I92" s="144"/>
    </row>
    <row r="93" spans="1:9" s="31" customFormat="1" ht="13.35" customHeight="1">
      <c r="B93" s="12" t="str">
        <f t="shared" ref="B93:B99" si="3">B51&amp;" / Total Revenue"</f>
        <v>Executive Team / Total Revenue</v>
      </c>
      <c r="D93" s="16">
        <f t="shared" ref="D93:H100" si="4">-D51/D$42</f>
        <v>0</v>
      </c>
      <c r="E93" s="16">
        <f t="shared" si="4"/>
        <v>0</v>
      </c>
      <c r="F93" s="16">
        <f t="shared" si="4"/>
        <v>0.20758525103438097</v>
      </c>
      <c r="G93" s="35">
        <f t="shared" si="4"/>
        <v>0.20077210135205129</v>
      </c>
      <c r="H93" s="35">
        <f t="shared" si="4"/>
        <v>5.4874292933456949E-2</v>
      </c>
      <c r="I93" s="144"/>
    </row>
    <row r="94" spans="1:9" s="31" customFormat="1" ht="13.35" customHeight="1">
      <c r="B94" s="12" t="str">
        <f t="shared" si="3"/>
        <v>Business Development and Marketing Teams / Total Revenue</v>
      </c>
      <c r="D94" s="16">
        <f t="shared" si="4"/>
        <v>0.62444581455413617</v>
      </c>
      <c r="E94" s="16">
        <f t="shared" si="4"/>
        <v>0.48509282978900536</v>
      </c>
      <c r="F94" s="16">
        <f t="shared" si="4"/>
        <v>0.30073247906262884</v>
      </c>
      <c r="G94" s="35">
        <f t="shared" si="4"/>
        <v>0.20592010395082183</v>
      </c>
      <c r="H94" s="35">
        <f t="shared" si="4"/>
        <v>0.11332479512860286</v>
      </c>
      <c r="I94" s="144"/>
    </row>
    <row r="95" spans="1:9" s="31" customFormat="1" ht="13.35" customHeight="1">
      <c r="B95" s="12" t="str">
        <f t="shared" si="3"/>
        <v>Lending Team: Finance, Legal &amp; Farm Stewards / Total Revenue</v>
      </c>
      <c r="D95" s="16">
        <f t="shared" si="4"/>
        <v>1.2941150643346262</v>
      </c>
      <c r="E95" s="16">
        <f t="shared" si="4"/>
        <v>1.588017781925358</v>
      </c>
      <c r="F95" s="16">
        <f t="shared" si="4"/>
        <v>0.4524293932800611</v>
      </c>
      <c r="G95" s="35">
        <f t="shared" si="4"/>
        <v>0.28571414423176528</v>
      </c>
      <c r="H95" s="35">
        <f t="shared" si="4"/>
        <v>0.1329646328772226</v>
      </c>
      <c r="I95" s="144"/>
    </row>
    <row r="96" spans="1:9" s="31" customFormat="1" ht="13.35" customHeight="1">
      <c r="B96" s="12" t="str">
        <f t="shared" si="3"/>
        <v>SaaS / Technology Team / Total Revenue</v>
      </c>
      <c r="D96" s="36">
        <f t="shared" si="4"/>
        <v>3.0423209144676919</v>
      </c>
      <c r="E96" s="36">
        <f t="shared" si="4"/>
        <v>1.7894483209843166</v>
      </c>
      <c r="F96" s="36">
        <f t="shared" si="4"/>
        <v>0.91550418404906486</v>
      </c>
      <c r="G96" s="35">
        <f t="shared" si="4"/>
        <v>0.39382219880594677</v>
      </c>
      <c r="H96" s="35">
        <f t="shared" si="4"/>
        <v>0.14492441467041195</v>
      </c>
      <c r="I96" s="144"/>
    </row>
    <row r="97" spans="1:9" s="31" customFormat="1" ht="13.35" customHeight="1">
      <c r="B97" s="12" t="str">
        <f t="shared" si="3"/>
        <v>Operations &amp; Administrative Team / Total Revenue</v>
      </c>
      <c r="D97" s="16">
        <f t="shared" si="4"/>
        <v>3.7875403392834168</v>
      </c>
      <c r="E97" s="16">
        <f t="shared" si="4"/>
        <v>1.8987375980783363</v>
      </c>
      <c r="F97" s="16">
        <f t="shared" si="4"/>
        <v>0.49873687235696157</v>
      </c>
      <c r="G97" s="35">
        <f t="shared" si="4"/>
        <v>0.32586856450217555</v>
      </c>
      <c r="H97" s="35">
        <f t="shared" si="4"/>
        <v>0.11779212538664711</v>
      </c>
      <c r="I97" s="144"/>
    </row>
    <row r="98" spans="1:9" s="31" customFormat="1" ht="13.35" customHeight="1">
      <c r="B98" s="12" t="str">
        <f t="shared" si="3"/>
        <v>SaaS: Team Bonus Pool (5.00% of rev) / Total Revenue</v>
      </c>
      <c r="D98" s="16">
        <f t="shared" si="4"/>
        <v>0</v>
      </c>
      <c r="E98" s="16">
        <f t="shared" si="4"/>
        <v>0</v>
      </c>
      <c r="F98" s="16">
        <f t="shared" si="4"/>
        <v>0</v>
      </c>
      <c r="G98" s="15">
        <f t="shared" si="4"/>
        <v>0</v>
      </c>
      <c r="H98" s="15">
        <f t="shared" si="4"/>
        <v>4.2072519338624173E-2</v>
      </c>
      <c r="I98" s="144"/>
    </row>
    <row r="99" spans="1:9" s="31" customFormat="1" ht="13.35" customHeight="1">
      <c r="B99" s="12" t="str">
        <f t="shared" si="3"/>
        <v>Lending: Team Bonus Pool (5.00% of rev) / Total Revenue</v>
      </c>
      <c r="D99" s="16">
        <f t="shared" si="4"/>
        <v>0</v>
      </c>
      <c r="E99" s="16">
        <f t="shared" si="4"/>
        <v>0</v>
      </c>
      <c r="F99" s="16">
        <f t="shared" si="4"/>
        <v>0</v>
      </c>
      <c r="G99" s="15">
        <f t="shared" si="4"/>
        <v>0</v>
      </c>
      <c r="H99" s="15">
        <f t="shared" si="4"/>
        <v>7.9274806613758245E-3</v>
      </c>
      <c r="I99" s="144"/>
    </row>
    <row r="100" spans="1:9" s="31" customFormat="1" ht="13.35" customHeight="1">
      <c r="A100" s="31" t="s">
        <v>47</v>
      </c>
      <c r="B100" s="37" t="s">
        <v>64</v>
      </c>
      <c r="C100" s="37"/>
      <c r="D100" s="39">
        <f t="shared" si="4"/>
        <v>8.7484221326398721</v>
      </c>
      <c r="E100" s="39">
        <f t="shared" si="4"/>
        <v>5.7612965307770168</v>
      </c>
      <c r="F100" s="39">
        <f t="shared" si="4"/>
        <v>2.3749881797830974</v>
      </c>
      <c r="G100" s="38">
        <f t="shared" si="4"/>
        <v>1.4120971128427606</v>
      </c>
      <c r="H100" s="38">
        <f t="shared" si="4"/>
        <v>0.6138802609963413</v>
      </c>
      <c r="I100" s="144"/>
    </row>
    <row r="101" spans="1:9" s="31" customFormat="1" ht="13.35" customHeight="1">
      <c r="B101" s="144"/>
      <c r="C101" s="144"/>
      <c r="D101" s="392"/>
      <c r="E101" s="144"/>
      <c r="F101" s="144"/>
      <c r="G101" s="144"/>
      <c r="H101" s="144"/>
      <c r="I101" s="144"/>
    </row>
    <row r="102" spans="1:9" s="31" customFormat="1" ht="13.35" customHeight="1">
      <c r="B102" s="18" t="s">
        <v>241</v>
      </c>
      <c r="D102" s="433"/>
      <c r="E102" s="15"/>
      <c r="F102" s="16"/>
      <c r="G102" s="15"/>
      <c r="H102" s="15"/>
      <c r="I102" s="144"/>
    </row>
    <row r="103" spans="1:9" s="31" customFormat="1" ht="13.35" customHeight="1">
      <c r="B103" s="144" t="str">
        <f t="shared" ref="B103:B108" si="5">B62</f>
        <v>Payroll Tax + Benefits</v>
      </c>
      <c r="D103" s="16">
        <f t="shared" ref="D103:H110" si="6">-D62/D$42</f>
        <v>0.62662841311226836</v>
      </c>
      <c r="E103" s="16">
        <f t="shared" si="6"/>
        <v>0.26755819465335967</v>
      </c>
      <c r="F103" s="16">
        <f t="shared" si="6"/>
        <v>0.4037479905631266</v>
      </c>
      <c r="G103" s="35">
        <f t="shared" si="6"/>
        <v>0.24005650918326932</v>
      </c>
      <c r="H103" s="35">
        <f t="shared" si="6"/>
        <v>9.5859644369378064E-2</v>
      </c>
      <c r="I103" s="144"/>
    </row>
    <row r="104" spans="1:9" s="31" customFormat="1" ht="13.35" customHeight="1">
      <c r="B104" s="144" t="str">
        <f t="shared" si="5"/>
        <v>Legal &amp; Compliance</v>
      </c>
      <c r="D104" s="16">
        <f t="shared" si="6"/>
        <v>1.2435210670781718</v>
      </c>
      <c r="E104" s="16">
        <f t="shared" si="6"/>
        <v>0.19596489076976131</v>
      </c>
      <c r="F104" s="16">
        <f t="shared" si="6"/>
        <v>4.7904288700241764E-2</v>
      </c>
      <c r="G104" s="35">
        <f t="shared" si="6"/>
        <v>1.5149836219239033E-2</v>
      </c>
      <c r="H104" s="35">
        <f t="shared" si="6"/>
        <v>4.0618271322591651E-3</v>
      </c>
      <c r="I104" s="144"/>
    </row>
    <row r="105" spans="1:9" s="31" customFormat="1" ht="13.35" customHeight="1">
      <c r="B105" s="144" t="str">
        <f t="shared" si="5"/>
        <v xml:space="preserve">Regulatory </v>
      </c>
      <c r="D105" s="16">
        <f t="shared" si="6"/>
        <v>2.0204898153818038</v>
      </c>
      <c r="E105" s="16">
        <f t="shared" si="6"/>
        <v>0</v>
      </c>
      <c r="F105" s="16">
        <f t="shared" si="6"/>
        <v>3.832343096019341E-2</v>
      </c>
      <c r="G105" s="35">
        <f t="shared" si="6"/>
        <v>1.2119868975391227E-2</v>
      </c>
      <c r="H105" s="35">
        <f t="shared" si="6"/>
        <v>3.2494617058073318E-3</v>
      </c>
      <c r="I105" s="144"/>
    </row>
    <row r="106" spans="1:9" s="31" customFormat="1" ht="13.35" customHeight="1">
      <c r="B106" s="144" t="str">
        <f t="shared" si="5"/>
        <v>Office Rent</v>
      </c>
      <c r="D106" s="16">
        <f t="shared" si="6"/>
        <v>1.4465907551206683</v>
      </c>
      <c r="E106" s="16">
        <f t="shared" si="6"/>
        <v>0.28665881964616369</v>
      </c>
      <c r="F106" s="16">
        <f t="shared" si="6"/>
        <v>0.11497029288058024</v>
      </c>
      <c r="G106" s="35">
        <f t="shared" si="6"/>
        <v>3.6359606926173682E-2</v>
      </c>
      <c r="H106" s="35">
        <f t="shared" si="6"/>
        <v>9.748385117421994E-3</v>
      </c>
      <c r="I106" s="144"/>
    </row>
    <row r="107" spans="1:9" s="31" customFormat="1" ht="13.35" customHeight="1">
      <c r="B107" s="144" t="str">
        <f t="shared" si="5"/>
        <v>Public Relations</v>
      </c>
      <c r="D107" s="16">
        <f t="shared" si="6"/>
        <v>0</v>
      </c>
      <c r="E107" s="16">
        <f t="shared" si="6"/>
        <v>0.40160098004582179</v>
      </c>
      <c r="F107" s="16">
        <f t="shared" si="6"/>
        <v>7.6646861920386819E-2</v>
      </c>
      <c r="G107" s="35">
        <f t="shared" si="6"/>
        <v>2.4239737950782454E-2</v>
      </c>
      <c r="H107" s="35">
        <f t="shared" si="6"/>
        <v>6.4989234116146636E-3</v>
      </c>
      <c r="I107" s="144"/>
    </row>
    <row r="108" spans="1:9" s="31" customFormat="1" ht="13.35" customHeight="1">
      <c r="B108" s="144" t="str">
        <f t="shared" si="5"/>
        <v>Direct Marketing - Farms</v>
      </c>
      <c r="D108" s="16">
        <f t="shared" si="6"/>
        <v>8.0280608734834405E-2</v>
      </c>
      <c r="E108" s="16">
        <f t="shared" si="6"/>
        <v>0.45163359428511057</v>
      </c>
      <c r="F108" s="16">
        <f t="shared" si="6"/>
        <v>2.987307634236994E-2</v>
      </c>
      <c r="G108" s="35">
        <f t="shared" si="6"/>
        <v>2.5040264551835813E-2</v>
      </c>
      <c r="H108" s="35">
        <f t="shared" si="6"/>
        <v>1.2634916470155043E-2</v>
      </c>
      <c r="I108" s="144"/>
    </row>
    <row r="109" spans="1:9" s="31" customFormat="1" ht="13.35" customHeight="1">
      <c r="B109" s="144" t="s">
        <v>327</v>
      </c>
      <c r="D109" s="16">
        <f t="shared" si="6"/>
        <v>0</v>
      </c>
      <c r="E109" s="16">
        <f t="shared" si="6"/>
        <v>0</v>
      </c>
      <c r="F109" s="16">
        <f t="shared" si="6"/>
        <v>3.4374335188936025E-2</v>
      </c>
      <c r="G109" s="35">
        <f t="shared" si="6"/>
        <v>2.6155925068216727E-2</v>
      </c>
      <c r="H109" s="35">
        <f t="shared" si="6"/>
        <v>2.299763969306734E-2</v>
      </c>
      <c r="I109" s="144"/>
    </row>
    <row r="110" spans="1:9" s="31" customFormat="1" ht="13.35" customHeight="1">
      <c r="B110" s="144" t="s">
        <v>328</v>
      </c>
      <c r="D110" s="16">
        <f t="shared" si="6"/>
        <v>4.7475598841789566</v>
      </c>
      <c r="E110" s="16">
        <f t="shared" si="6"/>
        <v>0.38410344776667005</v>
      </c>
      <c r="F110" s="16">
        <f t="shared" si="6"/>
        <v>2.8742573220145059E-2</v>
      </c>
      <c r="G110" s="35">
        <f t="shared" si="6"/>
        <v>9.0899017315434205E-3</v>
      </c>
      <c r="H110" s="35">
        <f t="shared" si="6"/>
        <v>2.4370962793554985E-3</v>
      </c>
      <c r="I110" s="144"/>
    </row>
    <row r="111" spans="1:9" s="31" customFormat="1" ht="13.35" customHeight="1">
      <c r="B111" s="144" t="str">
        <f t="shared" ref="B111:B113" si="7">B71</f>
        <v>Supplies + CPU + Phone</v>
      </c>
      <c r="D111" s="16">
        <f t="shared" ref="D111:E113" si="8">-D71/D$42</f>
        <v>0.90021117197260603</v>
      </c>
      <c r="E111" s="16">
        <f t="shared" si="8"/>
        <v>0.68634507101012232</v>
      </c>
      <c r="F111" s="16">
        <f t="shared" ref="F111:H113" si="9">-F71/F$42</f>
        <v>9.5808577400483527E-2</v>
      </c>
      <c r="G111" s="35">
        <f t="shared" si="9"/>
        <v>3.0299672438478066E-2</v>
      </c>
      <c r="H111" s="35">
        <f t="shared" si="9"/>
        <v>8.1236542645183301E-3</v>
      </c>
      <c r="I111" s="144"/>
    </row>
    <row r="112" spans="1:9" s="31" customFormat="1" ht="13.35" customHeight="1">
      <c r="B112" s="144" t="str">
        <f t="shared" si="7"/>
        <v>Travel, Entertainment, Conference  Expenses</v>
      </c>
      <c r="D112" s="16">
        <f t="shared" si="8"/>
        <v>0.59921216164258906</v>
      </c>
      <c r="E112" s="16">
        <f t="shared" si="8"/>
        <v>0.19285677109206667</v>
      </c>
      <c r="F112" s="16">
        <f t="shared" si="9"/>
        <v>5.7485146440290118E-2</v>
      </c>
      <c r="G112" s="35">
        <f t="shared" si="9"/>
        <v>1.8179803463086841E-2</v>
      </c>
      <c r="H112" s="35">
        <f t="shared" si="9"/>
        <v>4.874192558710997E-3</v>
      </c>
      <c r="I112" s="144"/>
    </row>
    <row r="113" spans="1:9" s="31" customFormat="1" ht="13.35" customHeight="1">
      <c r="B113" s="144" t="str">
        <f t="shared" si="7"/>
        <v>Other Expenses</v>
      </c>
      <c r="D113" s="16">
        <f t="shared" si="8"/>
        <v>-0.22481469383125033</v>
      </c>
      <c r="E113" s="16">
        <f t="shared" si="8"/>
        <v>0.11137019150082074</v>
      </c>
      <c r="F113" s="16">
        <f t="shared" si="9"/>
        <v>1.9161715480096705E-2</v>
      </c>
      <c r="G113" s="35">
        <f t="shared" si="9"/>
        <v>6.0599344876956134E-3</v>
      </c>
      <c r="H113" s="35">
        <f t="shared" si="9"/>
        <v>1.6247308529036659E-3</v>
      </c>
      <c r="I113" s="144"/>
    </row>
    <row r="114" spans="1:9" s="31" customFormat="1" ht="13.35" customHeight="1">
      <c r="A114" s="31" t="s">
        <v>47</v>
      </c>
      <c r="B114" s="37" t="s">
        <v>65</v>
      </c>
      <c r="C114" s="28"/>
      <c r="D114" s="39">
        <f>-D74/D42</f>
        <v>14.829766077988015</v>
      </c>
      <c r="E114" s="39">
        <f>-E74/E42</f>
        <v>3.6818135337048203</v>
      </c>
      <c r="F114" s="39">
        <f>-F74/F42</f>
        <v>0.96620000457694677</v>
      </c>
      <c r="G114" s="38">
        <f>-G74/G42</f>
        <v>0.4488109954834078</v>
      </c>
      <c r="H114" s="38">
        <f>-H74/H42</f>
        <v>0.17373520270809573</v>
      </c>
      <c r="I114" s="144"/>
    </row>
    <row r="115" spans="1:9" s="31" customFormat="1" ht="13.35" customHeight="1">
      <c r="D115" s="433"/>
      <c r="E115" s="144"/>
      <c r="F115" s="17"/>
      <c r="G115" s="15"/>
      <c r="H115" s="15"/>
      <c r="I115" s="144"/>
    </row>
    <row r="116" spans="1:9" s="31" customFormat="1" ht="13.35" customHeight="1">
      <c r="B116" s="437" t="s">
        <v>39</v>
      </c>
      <c r="I116" s="144"/>
    </row>
    <row r="117" spans="1:9" s="31" customFormat="1" ht="13.35" customHeight="1">
      <c r="B117" s="563" t="s">
        <v>262</v>
      </c>
      <c r="E117" s="15"/>
      <c r="F117" s="35"/>
      <c r="G117" s="15"/>
      <c r="H117" s="15"/>
      <c r="I117" s="144"/>
    </row>
    <row r="118" spans="1:9" s="31" customFormat="1" ht="13.35" customHeight="1">
      <c r="B118" s="564" t="s">
        <v>270</v>
      </c>
      <c r="E118" s="15"/>
      <c r="F118" s="35"/>
      <c r="G118" s="15"/>
      <c r="H118" s="15"/>
      <c r="I118" s="144"/>
    </row>
    <row r="119" spans="1:9" s="31" customFormat="1" ht="13.35" customHeight="1">
      <c r="B119" s="564" t="s">
        <v>358</v>
      </c>
      <c r="E119" s="15"/>
      <c r="F119" s="35"/>
      <c r="G119" s="15"/>
      <c r="H119" s="15"/>
      <c r="I119" s="144"/>
    </row>
    <row r="120" spans="1:9" ht="13.35" customHeight="1">
      <c r="B120" s="564" t="s">
        <v>269</v>
      </c>
    </row>
    <row r="121" spans="1:9" ht="13.35" customHeight="1">
      <c r="B121" s="564" t="s">
        <v>268</v>
      </c>
    </row>
    <row r="122" spans="1:9" ht="13.35" customHeight="1">
      <c r="B122" s="564"/>
    </row>
    <row r="123" spans="1:9" ht="13.35" customHeight="1">
      <c r="B123" s="564"/>
    </row>
    <row r="167" spans="2:4" ht="13.35" customHeight="1">
      <c r="B167" s="40"/>
      <c r="C167" s="40"/>
      <c r="D167" s="40"/>
    </row>
  </sheetData>
  <pageMargins left="0.7" right="0.7" top="0.75" bottom="0.75" header="0.3" footer="0.3"/>
  <pageSetup scale="81" fitToHeight="0" orientation="landscape" r:id="rId1"/>
  <rowBreaks count="2" manualBreakCount="2">
    <brk id="49" max="7" man="1"/>
    <brk id="8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Cover Page</vt:lpstr>
      <vt:lpstr>Model Drivers</vt:lpstr>
      <vt:lpstr>Existing Loans + Loan Pipeline</vt:lpstr>
      <vt:lpstr>Historical CAC to LTV Analysis</vt:lpstr>
      <vt:lpstr>Headcount</vt:lpstr>
      <vt:lpstr>Revenue Build</vt:lpstr>
      <vt:lpstr>Monthly P&amp;L</vt:lpstr>
      <vt:lpstr>Quarterly P&amp;L</vt:lpstr>
      <vt:lpstr>Annual P&amp;L</vt:lpstr>
      <vt:lpstr>'Annual P&amp;L'!Print_Area</vt:lpstr>
      <vt:lpstr>'Cover Page'!Print_Area</vt:lpstr>
      <vt:lpstr>'Existing Loans + Loan Pipeline'!Print_Area</vt:lpstr>
      <vt:lpstr>Headcount!Print_Area</vt:lpstr>
      <vt:lpstr>'Historical CAC to LTV Analysis'!Print_Area</vt:lpstr>
      <vt:lpstr>'Monthly P&amp;L'!Print_Area</vt:lpstr>
      <vt:lpstr>'Quarterly P&amp;L'!Print_Area</vt:lpstr>
      <vt:lpstr>'Revenue Build'!Print_Area</vt:lpstr>
      <vt:lpstr>'Annual P&amp;L'!Print_Titles</vt:lpstr>
      <vt:lpstr>Headcount!Print_Titles</vt:lpstr>
      <vt:lpstr>'Monthly P&amp;L'!Print_Titles</vt:lpstr>
      <vt:lpstr>'Quarterly P&amp;L'!Print_Titles</vt:lpstr>
      <vt:lpstr>'Revenue Build'!Print_Titles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</dc:creator>
  <cp:lastModifiedBy>Marc Weinstein</cp:lastModifiedBy>
  <cp:lastPrinted>2020-06-23T22:09:24Z</cp:lastPrinted>
  <dcterms:created xsi:type="dcterms:W3CDTF">2019-03-14T19:22:47Z</dcterms:created>
  <dcterms:modified xsi:type="dcterms:W3CDTF">2020-07-15T21:34:15Z</dcterms:modified>
</cp:coreProperties>
</file>